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Multi separation method\"/>
    </mc:Choice>
  </mc:AlternateContent>
  <bookViews>
    <workbookView xWindow="0" yWindow="0" windowWidth="28800" windowHeight="12330" activeTab="4"/>
  </bookViews>
  <sheets>
    <sheet name="Sheet1" sheetId="1" r:id="rId1"/>
    <sheet name="Calibration" sheetId="3" r:id="rId2"/>
    <sheet name="concrete dilution" sheetId="4" r:id="rId3"/>
    <sheet name="Sheet4" sheetId="5" r:id="rId4"/>
    <sheet name="Sheet5" sheetId="6" r:id="rId5"/>
    <sheet name="ValueList_Helper" sheetId="2" state="hidden" r:id="rId6"/>
  </sheets>
  <calcPr calcId="162913"/>
</workbook>
</file>

<file path=xl/calcChain.xml><?xml version="1.0" encoding="utf-8"?>
<calcChain xmlns="http://schemas.openxmlformats.org/spreadsheetml/2006/main">
  <c r="E8" i="6" l="1"/>
  <c r="E7" i="6"/>
  <c r="B7" i="6"/>
  <c r="AG4" i="5"/>
  <c r="AG5" i="5"/>
  <c r="AG6" i="5"/>
  <c r="AG7" i="5"/>
  <c r="AG8" i="5"/>
  <c r="AG9" i="5"/>
  <c r="AG10" i="5"/>
  <c r="AG11" i="5"/>
  <c r="AG3" i="5"/>
  <c r="AE3" i="5"/>
  <c r="Z4" i="5"/>
  <c r="Z5" i="5"/>
  <c r="Z6" i="5"/>
  <c r="Z7" i="5"/>
  <c r="Z8" i="5"/>
  <c r="Z9" i="5"/>
  <c r="Z10" i="5"/>
  <c r="Z11" i="5"/>
  <c r="Z3" i="5"/>
  <c r="X4" i="5"/>
  <c r="X5" i="5"/>
  <c r="X6" i="5"/>
  <c r="X7" i="5"/>
  <c r="X8" i="5"/>
  <c r="X9" i="5"/>
  <c r="X10" i="5"/>
  <c r="X11" i="5"/>
  <c r="X3" i="5"/>
  <c r="U4" i="5"/>
  <c r="U5" i="5"/>
  <c r="U6" i="5"/>
  <c r="U7" i="5"/>
  <c r="U8" i="5"/>
  <c r="U9" i="5"/>
  <c r="U10" i="5"/>
  <c r="U11" i="5"/>
  <c r="U3" i="5"/>
  <c r="R11" i="5"/>
  <c r="R3" i="5"/>
  <c r="P3" i="5"/>
  <c r="K4" i="5"/>
  <c r="K5" i="5"/>
  <c r="K6" i="5"/>
  <c r="K7" i="5"/>
  <c r="K8" i="5"/>
  <c r="K9" i="5"/>
  <c r="K10" i="5"/>
  <c r="K11" i="5"/>
  <c r="K3" i="5"/>
  <c r="AW4" i="5"/>
  <c r="AW5" i="5"/>
  <c r="AW6" i="5"/>
  <c r="AW7" i="5"/>
  <c r="AW8" i="5"/>
  <c r="AW9" i="5"/>
  <c r="AW10" i="5"/>
  <c r="AW11" i="5"/>
  <c r="AW3" i="5"/>
  <c r="AV3" i="5"/>
  <c r="AS4" i="5"/>
  <c r="AS5" i="5"/>
  <c r="AS6" i="5"/>
  <c r="AS7" i="5"/>
  <c r="AS8" i="5"/>
  <c r="AS9" i="5"/>
  <c r="AS10" i="5"/>
  <c r="AS11" i="5"/>
  <c r="AS3" i="5"/>
  <c r="I4" i="5"/>
  <c r="I5" i="5"/>
  <c r="I6" i="5"/>
  <c r="I7" i="5"/>
  <c r="I8" i="5"/>
  <c r="I9" i="5"/>
  <c r="I10" i="5"/>
  <c r="I11" i="5"/>
  <c r="I3" i="5"/>
  <c r="F4" i="5"/>
  <c r="F5" i="5"/>
  <c r="F6" i="5"/>
  <c r="F7" i="5"/>
  <c r="F8" i="5"/>
  <c r="F9" i="5"/>
  <c r="F10" i="5"/>
  <c r="F11" i="5"/>
  <c r="F3" i="5"/>
  <c r="Q11" i="5"/>
  <c r="Z4" i="4"/>
  <c r="X4" i="4"/>
  <c r="V4" i="4" s="1"/>
  <c r="T4" i="4"/>
  <c r="T2" i="4"/>
  <c r="M4" i="4"/>
  <c r="K4" i="4"/>
  <c r="G4" i="4"/>
  <c r="Z2" i="4"/>
  <c r="V2" i="4"/>
  <c r="X2" i="4"/>
  <c r="M2" i="4"/>
  <c r="K2" i="4"/>
  <c r="G2" i="4"/>
  <c r="X2" i="3" l="1"/>
  <c r="X3" i="3"/>
  <c r="X4" i="3"/>
  <c r="X5" i="3"/>
  <c r="X6" i="3"/>
  <c r="X7" i="3"/>
  <c r="X8" i="3"/>
  <c r="X9" i="3"/>
  <c r="W9" i="3"/>
  <c r="V3" i="3"/>
  <c r="V4" i="3"/>
  <c r="V5" i="3"/>
  <c r="V6" i="3"/>
  <c r="V7" i="3"/>
  <c r="V8" i="3"/>
  <c r="V9" i="3"/>
  <c r="U9" i="3"/>
  <c r="S2" i="3"/>
  <c r="S3" i="3"/>
  <c r="S4" i="3"/>
  <c r="S5" i="3"/>
  <c r="S6" i="3"/>
  <c r="S7" i="3"/>
  <c r="S8" i="3"/>
  <c r="S9" i="3"/>
  <c r="R9" i="3"/>
  <c r="Q2" i="3"/>
  <c r="Q3" i="3"/>
  <c r="Q4" i="3"/>
  <c r="Q5" i="3"/>
  <c r="Q6" i="3"/>
  <c r="Q7" i="3"/>
  <c r="Q8" i="3"/>
  <c r="Q9" i="3"/>
  <c r="O3" i="3"/>
  <c r="O4" i="3"/>
  <c r="O5" i="3"/>
  <c r="O6" i="3"/>
  <c r="O7" i="3"/>
  <c r="O8" i="3"/>
  <c r="O9" i="3"/>
  <c r="N9" i="3"/>
  <c r="AA15" i="3"/>
  <c r="Y15" i="3"/>
  <c r="X15" i="3"/>
  <c r="V15" i="3"/>
  <c r="U15" i="3"/>
  <c r="S15" i="3"/>
  <c r="Q15" i="3"/>
  <c r="P15" i="3"/>
  <c r="R15" i="3"/>
  <c r="Q30" i="3"/>
  <c r="P30" i="3"/>
  <c r="K30" i="3"/>
  <c r="G30" i="3"/>
  <c r="B20" i="3"/>
  <c r="O15" i="3"/>
  <c r="N15" i="3"/>
  <c r="K15" i="3"/>
  <c r="J15" i="3"/>
  <c r="G15" i="3"/>
  <c r="M3" i="3"/>
  <c r="M4" i="3"/>
  <c r="M5" i="3"/>
  <c r="M6" i="3"/>
  <c r="M7" i="3"/>
  <c r="M8" i="3"/>
  <c r="M9" i="3"/>
  <c r="M2" i="3"/>
  <c r="J9" i="3"/>
  <c r="L3" i="3"/>
  <c r="L2" i="3"/>
  <c r="K3" i="3"/>
  <c r="K4" i="3"/>
  <c r="K5" i="3"/>
  <c r="K6" i="3"/>
  <c r="K7" i="3"/>
  <c r="K8" i="3"/>
  <c r="K9" i="3"/>
  <c r="K2" i="3"/>
  <c r="J2" i="3"/>
  <c r="G3" i="3"/>
  <c r="G4" i="3"/>
  <c r="G5" i="3"/>
  <c r="G6" i="3"/>
  <c r="G7" i="3"/>
  <c r="G8" i="3"/>
  <c r="G9" i="3"/>
  <c r="G2" i="3"/>
  <c r="O17" i="6" l="1"/>
  <c r="O23" i="6" l="1"/>
  <c r="I23" i="6" l="1"/>
  <c r="O21" i="6"/>
  <c r="O19" i="6"/>
  <c r="B13" i="6"/>
  <c r="B12" i="6"/>
  <c r="I17" i="6"/>
  <c r="O10" i="6"/>
  <c r="O12" i="6" s="1"/>
  <c r="O15" i="6" s="1"/>
  <c r="I21" i="6" l="1"/>
  <c r="I19" i="6"/>
  <c r="L15" i="6"/>
  <c r="B8" i="6"/>
  <c r="AF3" i="5"/>
  <c r="AF4" i="5"/>
  <c r="AF5" i="5"/>
  <c r="AF6" i="5"/>
  <c r="AF7" i="5"/>
  <c r="AF8" i="5"/>
  <c r="AF9" i="5"/>
  <c r="AF10" i="5"/>
  <c r="AF11" i="5"/>
  <c r="Q4" i="5"/>
  <c r="R4" i="5" s="1"/>
  <c r="Q5" i="5"/>
  <c r="R5" i="5" s="1"/>
  <c r="Q6" i="5"/>
  <c r="R6" i="5" s="1"/>
  <c r="Q7" i="5"/>
  <c r="R7" i="5" s="1"/>
  <c r="Q8" i="5"/>
  <c r="R8" i="5" s="1"/>
  <c r="Q9" i="5"/>
  <c r="R9" i="5" s="1"/>
  <c r="Q10" i="5"/>
  <c r="R10" i="5" s="1"/>
  <c r="Q3" i="5"/>
  <c r="Y4" i="5"/>
  <c r="Y5" i="5"/>
  <c r="Y6" i="5"/>
  <c r="Y7" i="5"/>
  <c r="Y8" i="5"/>
  <c r="Y9" i="5"/>
  <c r="Y10" i="5"/>
  <c r="Y11" i="5"/>
  <c r="Y3" i="5"/>
  <c r="W4" i="5"/>
  <c r="W5" i="5"/>
  <c r="W6" i="5"/>
  <c r="W7" i="5"/>
  <c r="W8" i="5"/>
  <c r="W9" i="5"/>
  <c r="W10" i="5"/>
  <c r="W11" i="5"/>
  <c r="W3" i="5"/>
  <c r="W2" i="3"/>
  <c r="J4" i="5"/>
  <c r="J8" i="5"/>
  <c r="H4" i="5"/>
  <c r="H5" i="5"/>
  <c r="J5" i="5" s="1"/>
  <c r="H6" i="5"/>
  <c r="J6" i="5" s="1"/>
  <c r="H7" i="5"/>
  <c r="J7" i="5" s="1"/>
  <c r="H8" i="5"/>
  <c r="H9" i="5"/>
  <c r="J9" i="5" s="1"/>
  <c r="H10" i="5"/>
  <c r="J10" i="5" s="1"/>
  <c r="H11" i="5"/>
  <c r="J11" i="5" s="1"/>
  <c r="H3" i="5"/>
  <c r="AV11" i="5"/>
  <c r="Y3" i="4"/>
  <c r="Y4" i="4"/>
  <c r="Y2" i="4"/>
  <c r="AV4" i="5"/>
  <c r="AV5" i="5"/>
  <c r="AV7" i="5"/>
  <c r="AV8" i="5"/>
  <c r="AV9" i="5"/>
  <c r="AR4" i="5"/>
  <c r="AR5" i="5"/>
  <c r="AR6" i="5"/>
  <c r="AV6" i="5" s="1"/>
  <c r="AR7" i="5"/>
  <c r="AR8" i="5"/>
  <c r="AR9" i="5"/>
  <c r="AR10" i="5"/>
  <c r="AV10" i="5" s="1"/>
  <c r="AR11" i="5"/>
  <c r="AR3" i="5"/>
  <c r="J3" i="5" s="1"/>
  <c r="U8" i="3"/>
  <c r="W8" i="3" s="1"/>
  <c r="W6" i="3"/>
  <c r="U6" i="3"/>
  <c r="U4" i="3" s="1"/>
  <c r="W4" i="3" s="1"/>
  <c r="U7" i="3"/>
  <c r="W7" i="3" s="1"/>
  <c r="Z15" i="3"/>
  <c r="U4" i="4"/>
  <c r="W4" i="4"/>
  <c r="U2" i="4"/>
  <c r="W2" i="4"/>
  <c r="S4" i="4"/>
  <c r="S2" i="4"/>
  <c r="L4" i="4"/>
  <c r="J4" i="4"/>
  <c r="F4" i="4"/>
  <c r="L2" i="4"/>
  <c r="J2" i="4"/>
  <c r="F2" i="4"/>
  <c r="R2" i="3"/>
  <c r="R3" i="3"/>
  <c r="R4" i="3"/>
  <c r="R5" i="3"/>
  <c r="R6" i="3"/>
  <c r="R7" i="3"/>
  <c r="R8" i="3"/>
  <c r="P2" i="3"/>
  <c r="P3" i="3"/>
  <c r="P4" i="3"/>
  <c r="P5" i="3"/>
  <c r="P6" i="3"/>
  <c r="P7" i="3"/>
  <c r="P8" i="3"/>
  <c r="P9" i="3"/>
  <c r="N3" i="3"/>
  <c r="N4" i="3"/>
  <c r="N5" i="3"/>
  <c r="N6" i="3"/>
  <c r="N7" i="3"/>
  <c r="N8" i="3"/>
  <c r="L4" i="3"/>
  <c r="L5" i="3"/>
  <c r="L6" i="3"/>
  <c r="L7" i="3"/>
  <c r="L8" i="3"/>
  <c r="L9" i="3"/>
  <c r="J4" i="3"/>
  <c r="J5" i="3"/>
  <c r="J6" i="3"/>
  <c r="J7" i="3"/>
  <c r="J8" i="3"/>
  <c r="J3" i="3"/>
  <c r="F4" i="3"/>
  <c r="F5" i="3"/>
  <c r="F6" i="3"/>
  <c r="F7" i="3"/>
  <c r="F8" i="3"/>
  <c r="F9" i="3"/>
  <c r="F3" i="3"/>
  <c r="J30" i="3"/>
  <c r="F30" i="3"/>
  <c r="U5" i="3" l="1"/>
  <c r="W5" i="3" s="1"/>
  <c r="U3" i="3"/>
  <c r="W3" i="3" s="1"/>
  <c r="F15" i="3"/>
</calcChain>
</file>

<file path=xl/sharedStrings.xml><?xml version="1.0" encoding="utf-8"?>
<sst xmlns="http://schemas.openxmlformats.org/spreadsheetml/2006/main" count="329" uniqueCount="183">
  <si>
    <t>005CALS.d</t>
  </si>
  <si>
    <t>QC2</t>
  </si>
  <si>
    <t>SQStd</t>
  </si>
  <si>
    <t>004SMPL.d</t>
  </si>
  <si>
    <t>Spike</t>
  </si>
  <si>
    <t>2</t>
  </si>
  <si>
    <t>Sample</t>
  </si>
  <si>
    <t>Level</t>
  </si>
  <si>
    <t>20 ppb</t>
  </si>
  <si>
    <t>015CALS.d</t>
  </si>
  <si>
    <t>5 ppb</t>
  </si>
  <si>
    <t>SQBlk</t>
  </si>
  <si>
    <t>0.1 ppb</t>
  </si>
  <si>
    <t>006SMPL.d</t>
  </si>
  <si>
    <t>2 % HNO3</t>
  </si>
  <si>
    <t>DriftChk</t>
  </si>
  <si>
    <t>FQBlk</t>
  </si>
  <si>
    <t xml:space="preserve">238 -&gt; 238  U  [ No Gas ] </t>
  </si>
  <si>
    <t>IsoStd</t>
  </si>
  <si>
    <t>Bkgnd</t>
  </si>
  <si>
    <t>Concrete D100</t>
  </si>
  <si>
    <t>CalBlk</t>
  </si>
  <si>
    <t>019SMPL.d</t>
  </si>
  <si>
    <t>SQISTD</t>
  </si>
  <si>
    <t>008SMPL.d</t>
  </si>
  <si>
    <t>001SMPL.d</t>
  </si>
  <si>
    <t>007CALS.d</t>
  </si>
  <si>
    <t>Data File</t>
  </si>
  <si>
    <t>BlkVrfy</t>
  </si>
  <si>
    <t>QC4</t>
  </si>
  <si>
    <t>003CALB.d</t>
  </si>
  <si>
    <t>3</t>
  </si>
  <si>
    <t>QC3</t>
  </si>
  <si>
    <t>DilStd</t>
  </si>
  <si>
    <t>017SMPL.d</t>
  </si>
  <si>
    <t>011CALS.d</t>
  </si>
  <si>
    <t>Type</t>
  </si>
  <si>
    <t>013CALS.d</t>
  </si>
  <si>
    <t xml:space="preserve">185 -&gt; 185  Re ( ISTD )  [ No Gas ] </t>
  </si>
  <si>
    <t>Acq. Date-Time</t>
  </si>
  <si>
    <t>Conc.</t>
  </si>
  <si>
    <t>009CALS.d</t>
  </si>
  <si>
    <t>CalStd</t>
  </si>
  <si>
    <t>002SMPL.d</t>
  </si>
  <si>
    <t>020SMPL.d</t>
  </si>
  <si>
    <t>016SMPL.d</t>
  </si>
  <si>
    <t>1</t>
  </si>
  <si>
    <t>1 ppb</t>
  </si>
  <si>
    <t>QC1</t>
  </si>
  <si>
    <t>Concrete D10</t>
  </si>
  <si>
    <t>014SMPL.d</t>
  </si>
  <si>
    <t>021SMPL.d</t>
  </si>
  <si>
    <t>010SMPL.d</t>
  </si>
  <si>
    <t>ISTD Recovery %</t>
  </si>
  <si>
    <t>CPS RSD</t>
  </si>
  <si>
    <t>CPS</t>
  </si>
  <si>
    <t>QC5</t>
  </si>
  <si>
    <t xml:space="preserve">115 -&gt; 115  In ( ISTD )  [ No Gas ] </t>
  </si>
  <si>
    <t>Spike Ref</t>
  </si>
  <si>
    <t>Sample Name</t>
  </si>
  <si>
    <t>0 ppb</t>
  </si>
  <si>
    <t>012SMPL.d</t>
  </si>
  <si>
    <t>CICSpike</t>
  </si>
  <si>
    <t/>
  </si>
  <si>
    <t xml:space="preserve">187 -&gt; 187  Re ( ISTD )  [ No Gas ] </t>
  </si>
  <si>
    <t>018SMPL.d</t>
  </si>
  <si>
    <t>4</t>
  </si>
  <si>
    <t>7</t>
  </si>
  <si>
    <t>Conc. [ ppb ]</t>
  </si>
  <si>
    <t>6</t>
  </si>
  <si>
    <t>5</t>
  </si>
  <si>
    <t>Rjct</t>
  </si>
  <si>
    <t>50 ppb</t>
  </si>
  <si>
    <t>10 ppb</t>
  </si>
  <si>
    <t xml:space="preserve">232 -&gt; 232  Th  [ No Gas ] </t>
  </si>
  <si>
    <t>5 ppm</t>
  </si>
  <si>
    <t>Empty</t>
  </si>
  <si>
    <t xml:space="preserve">with 1000 ppm U </t>
  </si>
  <si>
    <t>with 1000 ppm Th</t>
  </si>
  <si>
    <t xml:space="preserve">mass of 1000 ppm U </t>
  </si>
  <si>
    <t>mass of 1000 ppm Th</t>
  </si>
  <si>
    <t>actual conc U 1000 ppm</t>
  </si>
  <si>
    <t>actual conc th 1000 ppm</t>
  </si>
  <si>
    <t>mass with dilute</t>
  </si>
  <si>
    <t>Mass of solution</t>
  </si>
  <si>
    <t>making of U 50 ppm for alpha spike</t>
  </si>
  <si>
    <t>empty</t>
  </si>
  <si>
    <t>with 1000 ppm u</t>
  </si>
  <si>
    <t>mass of 1000 ppm u</t>
  </si>
  <si>
    <t>mass of sample</t>
  </si>
  <si>
    <t>actual conc from alpha analysis</t>
  </si>
  <si>
    <t>actal conc of 1000 ppm U</t>
  </si>
  <si>
    <t>conc of U (ppm)</t>
  </si>
  <si>
    <t>Conc of Th (ppm)</t>
  </si>
  <si>
    <t xml:space="preserve">empty </t>
  </si>
  <si>
    <t>with aliquot</t>
  </si>
  <si>
    <t>mass of aliquot</t>
  </si>
  <si>
    <t>with dilute</t>
  </si>
  <si>
    <t>mass of dilute</t>
  </si>
  <si>
    <t>conc u</t>
  </si>
  <si>
    <t>conc th</t>
  </si>
  <si>
    <t>DF</t>
  </si>
  <si>
    <t>in/re</t>
  </si>
  <si>
    <t>dil 10</t>
  </si>
  <si>
    <t>dil 100</t>
  </si>
  <si>
    <t xml:space="preserve">with dilute </t>
  </si>
  <si>
    <t>mass after aliquot taken</t>
  </si>
  <si>
    <t>mass with 2 ppm in/re</t>
  </si>
  <si>
    <t>Df</t>
  </si>
  <si>
    <t>mass of in re</t>
  </si>
  <si>
    <t>conc of in /re</t>
  </si>
  <si>
    <t xml:space="preserve">sample mass </t>
  </si>
  <si>
    <t>mass of dlute</t>
  </si>
  <si>
    <t>in/re conc</t>
  </si>
  <si>
    <t>% off 0 ppb</t>
  </si>
  <si>
    <t>% of 0 ppb</t>
  </si>
  <si>
    <t>sample</t>
  </si>
  <si>
    <t>avg istd</t>
  </si>
  <si>
    <t>%of 0 ppb</t>
  </si>
  <si>
    <t>cf</t>
  </si>
  <si>
    <t>% of 0ppb</t>
  </si>
  <si>
    <t>blk corrected cps</t>
  </si>
  <si>
    <t>istd corrected cps</t>
  </si>
  <si>
    <t>actual conc</t>
  </si>
  <si>
    <t>Th conc in icpms solution</t>
  </si>
  <si>
    <t>U conc in icpms solution</t>
  </si>
  <si>
    <t>ppb</t>
  </si>
  <si>
    <t>Th conc in digest solution</t>
  </si>
  <si>
    <t>U conc in digest solution</t>
  </si>
  <si>
    <t>df</t>
  </si>
  <si>
    <t>g</t>
  </si>
  <si>
    <t>mass of th per sample</t>
  </si>
  <si>
    <t>ug</t>
  </si>
  <si>
    <t>t1/2 th years =</t>
  </si>
  <si>
    <t>t1/2 th secs =</t>
  </si>
  <si>
    <t>lambda Th 232</t>
  </si>
  <si>
    <t>avogadros =</t>
  </si>
  <si>
    <t xml:space="preserve">number of moles per sample </t>
  </si>
  <si>
    <t>number of atoms per sample</t>
  </si>
  <si>
    <t>activity per sample</t>
  </si>
  <si>
    <t>t1/2 u238 years=</t>
  </si>
  <si>
    <t>T1/2 U 238 in secs =</t>
  </si>
  <si>
    <t>lambda u 238</t>
  </si>
  <si>
    <t>mass of U per sample</t>
  </si>
  <si>
    <t>activity conc  (Bq/g)</t>
  </si>
  <si>
    <r>
      <t xml:space="preserve">empty </t>
    </r>
    <r>
      <rPr>
        <sz val="11"/>
        <color theme="1"/>
        <rFont val="Calibri"/>
        <family val="2"/>
      </rPr>
      <t>σ</t>
    </r>
  </si>
  <si>
    <t>with aliquot σ</t>
  </si>
  <si>
    <t>mass of aliquot σ</t>
  </si>
  <si>
    <t>with dilute σ</t>
  </si>
  <si>
    <t>mass of dilute σ</t>
  </si>
  <si>
    <t>mass of sample σ</t>
  </si>
  <si>
    <t>DF σ</t>
  </si>
  <si>
    <t>conc u σ</t>
  </si>
  <si>
    <t>conc th σ</t>
  </si>
  <si>
    <t>in/re σ</t>
  </si>
  <si>
    <t>% of 0 ppb σ</t>
  </si>
  <si>
    <t>with 1000 ppm U σ</t>
  </si>
  <si>
    <t>mass of 1000 ppm U σ</t>
  </si>
  <si>
    <t>with 1000 ppm Th σ</t>
  </si>
  <si>
    <t>mass of 1000 ppm Th σ</t>
  </si>
  <si>
    <t>mass with dilute σ</t>
  </si>
  <si>
    <t>Mass of solution σ</t>
  </si>
  <si>
    <t>conc of U (ppm) σ</t>
  </si>
  <si>
    <t>Conc of Th (ppm) σ</t>
  </si>
  <si>
    <t>mass of dlute σ</t>
  </si>
  <si>
    <t>in/re conc σ</t>
  </si>
  <si>
    <t>% off 0 ppb σ</t>
  </si>
  <si>
    <t>empty σ</t>
  </si>
  <si>
    <t>with 1000 ppm u σ</t>
  </si>
  <si>
    <t>mass of 1000 ppm u σ</t>
  </si>
  <si>
    <t>actual conc from alpha analysis σ</t>
  </si>
  <si>
    <t>actal conc of 1000 ppm U σ</t>
  </si>
  <si>
    <t>σ</t>
  </si>
  <si>
    <r>
      <t xml:space="preserve">CPS </t>
    </r>
    <r>
      <rPr>
        <sz val="9"/>
        <color rgb="FF000000"/>
        <rFont val="Calibri"/>
        <family val="2"/>
      </rPr>
      <t>σ</t>
    </r>
  </si>
  <si>
    <t>Blk corrected CPS σ</t>
  </si>
  <si>
    <t>ISTD Corrected CPS σ</t>
  </si>
  <si>
    <t>conc th calib</t>
  </si>
  <si>
    <t>Calib cal conc (ppb) σ</t>
  </si>
  <si>
    <r>
      <t xml:space="preserve">actual conc </t>
    </r>
    <r>
      <rPr>
        <sz val="9"/>
        <color rgb="FF000000"/>
        <rFont val="Calibri"/>
        <family val="2"/>
      </rPr>
      <t>σ</t>
    </r>
  </si>
  <si>
    <r>
      <t xml:space="preserve">%of 0 ppb </t>
    </r>
    <r>
      <rPr>
        <sz val="11"/>
        <color theme="1"/>
        <rFont val="Calibri"/>
        <family val="2"/>
      </rPr>
      <t>σ</t>
    </r>
  </si>
  <si>
    <r>
      <t xml:space="preserve">avg istd </t>
    </r>
    <r>
      <rPr>
        <sz val="11"/>
        <color theme="1"/>
        <rFont val="Calibri"/>
        <family val="2"/>
      </rPr>
      <t>σ</t>
    </r>
  </si>
  <si>
    <r>
      <t xml:space="preserve">cf </t>
    </r>
    <r>
      <rPr>
        <sz val="11"/>
        <color theme="1"/>
        <rFont val="Calibri"/>
        <family val="2"/>
      </rPr>
      <t>σ</t>
    </r>
  </si>
  <si>
    <t>conc U calib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</si>
</sst>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9"/>
      <name val="Microsoft Sans Serif"/>
      <family val="2"/>
    </font>
    <font>
      <sz val="9"/>
      <color rgb="FF000000"/>
      <name val="Microsoft Sans Serif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9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rgb="FFF0F0F0"/>
      </patternFill>
    </fill>
    <fill>
      <patternFill patternType="solid">
        <fgColor rgb="FFEFEFE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4">
    <xf numFmtId="0" fontId="0" fillId="0" borderId="0" xfId="0"/>
    <xf numFmtId="0" fontId="1" fillId="0" borderId="1" xfId="0" applyFont="1" applyBorder="1" applyAlignment="1">
      <alignment horizontal="left" vertical="top"/>
    </xf>
    <xf numFmtId="22" fontId="1" fillId="0" borderId="1" xfId="0" applyNumberFormat="1" applyFont="1" applyBorder="1" applyAlignment="1">
      <alignment horizontal="left" vertical="top"/>
    </xf>
    <xf numFmtId="0" fontId="1" fillId="3" borderId="1" xfId="0" applyFont="1" applyFill="1" applyBorder="1" applyAlignment="1">
      <alignment horizontal="right" vertical="top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4" fillId="0" borderId="0" xfId="0" applyFont="1"/>
    <xf numFmtId="0" fontId="2" fillId="4" borderId="1" xfId="0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right" vertical="top"/>
    </xf>
    <xf numFmtId="2" fontId="1" fillId="5" borderId="1" xfId="1" applyNumberFormat="1" applyFont="1" applyFill="1" applyBorder="1" applyAlignment="1">
      <alignment horizontal="right"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Sheet4!$D$1</c:f>
              <c:strCache>
                <c:ptCount val="1"/>
                <c:pt idx="0">
                  <c:v>232 -&gt; 232  Th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2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Sheet4!$L$3:$L$9</c:f>
              <c:numCache>
                <c:formatCode>General</c:formatCode>
                <c:ptCount val="7"/>
                <c:pt idx="0">
                  <c:v>0</c:v>
                </c:pt>
                <c:pt idx="1">
                  <c:v>9.9195566615941852E-2</c:v>
                </c:pt>
                <c:pt idx="2">
                  <c:v>0.99942432384003244</c:v>
                </c:pt>
                <c:pt idx="3">
                  <c:v>4.9079434140205498</c:v>
                </c:pt>
                <c:pt idx="4">
                  <c:v>10.064352329639064</c:v>
                </c:pt>
                <c:pt idx="5">
                  <c:v>20.283765432935454</c:v>
                </c:pt>
                <c:pt idx="6">
                  <c:v>50.100205944390503</c:v>
                </c:pt>
              </c:numCache>
            </c:numRef>
          </c:xVal>
          <c:yVal>
            <c:numRef>
              <c:f>Sheet4!$J$3:$J$9</c:f>
              <c:numCache>
                <c:formatCode>General</c:formatCode>
                <c:ptCount val="7"/>
                <c:pt idx="0">
                  <c:v>0</c:v>
                </c:pt>
                <c:pt idx="1">
                  <c:v>11959.323207561773</c:v>
                </c:pt>
                <c:pt idx="2">
                  <c:v>121784.77595040771</c:v>
                </c:pt>
                <c:pt idx="3">
                  <c:v>585786.12536180962</c:v>
                </c:pt>
                <c:pt idx="4">
                  <c:v>1188658.8341739832</c:v>
                </c:pt>
                <c:pt idx="5">
                  <c:v>2339536.4081785069</c:v>
                </c:pt>
                <c:pt idx="6">
                  <c:v>5136789.1964063616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D9-4423-B1F4-A1EA504E01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880680"/>
        <c:axId val="586877072"/>
      </c:scatterChart>
      <c:valAx>
        <c:axId val="586880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877072"/>
        <c:crosses val="autoZero"/>
        <c:crossBetween val="midCat"/>
      </c:valAx>
      <c:valAx>
        <c:axId val="586877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880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Sheet4!$S$1</c:f>
              <c:strCache>
                <c:ptCount val="1"/>
                <c:pt idx="0">
                  <c:v>238 -&gt; 238  U  [ No Gas ] 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forward val="2"/>
            <c:intercept val="0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Sheet4!$AA$3:$AA$9</c:f>
              <c:numCache>
                <c:formatCode>General</c:formatCode>
                <c:ptCount val="7"/>
                <c:pt idx="0">
                  <c:v>0</c:v>
                </c:pt>
                <c:pt idx="1">
                  <c:v>0.10317491572081039</c:v>
                </c:pt>
                <c:pt idx="2">
                  <c:v>1.0395174290475944</c:v>
                </c:pt>
                <c:pt idx="3">
                  <c:v>5.1048314494197982</c:v>
                </c:pt>
                <c:pt idx="4">
                  <c:v>10.468095891980834</c:v>
                </c:pt>
                <c:pt idx="5">
                  <c:v>21.097473006494926</c:v>
                </c:pt>
                <c:pt idx="6">
                  <c:v>52.110035783363358</c:v>
                </c:pt>
              </c:numCache>
            </c:numRef>
          </c:xVal>
          <c:yVal>
            <c:numRef>
              <c:f>Sheet4!$Y$3:$Y$9</c:f>
              <c:numCache>
                <c:formatCode>General</c:formatCode>
                <c:ptCount val="7"/>
                <c:pt idx="0">
                  <c:v>0</c:v>
                </c:pt>
                <c:pt idx="1">
                  <c:v>11178.062957976252</c:v>
                </c:pt>
                <c:pt idx="2">
                  <c:v>118261.45875479405</c:v>
                </c:pt>
                <c:pt idx="3">
                  <c:v>567446.07177249761</c:v>
                </c:pt>
                <c:pt idx="4">
                  <c:v>1152888.7750168236</c:v>
                </c:pt>
                <c:pt idx="5">
                  <c:v>2282573.4004023531</c:v>
                </c:pt>
                <c:pt idx="6">
                  <c:v>5089564.808504777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6C7-4D26-921A-E055A9E4A7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6880680"/>
        <c:axId val="586877072"/>
      </c:scatterChart>
      <c:valAx>
        <c:axId val="5868806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877072"/>
        <c:crosses val="autoZero"/>
        <c:crossBetween val="midCat"/>
      </c:valAx>
      <c:valAx>
        <c:axId val="586877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8806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142875</xdr:colOff>
      <xdr:row>12</xdr:row>
      <xdr:rowOff>171450</xdr:rowOff>
    </xdr:from>
    <xdr:to>
      <xdr:col>15</xdr:col>
      <xdr:colOff>552450</xdr:colOff>
      <xdr:row>27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76200</xdr:colOff>
      <xdr:row>12</xdr:row>
      <xdr:rowOff>142875</xdr:rowOff>
    </xdr:from>
    <xdr:to>
      <xdr:col>30</xdr:col>
      <xdr:colOff>314325</xdr:colOff>
      <xdr:row>27</xdr:row>
      <xdr:rowOff>28575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V23"/>
  <sheetViews>
    <sheetView zoomScaleNormal="100" workbookViewId="0">
      <selection activeCell="N33" sqref="N33"/>
    </sheetView>
  </sheetViews>
  <sheetFormatPr defaultColWidth="9.140625" defaultRowHeight="15" x14ac:dyDescent="0.25"/>
  <cols>
    <col min="1" max="1" width="4" customWidth="1"/>
    <col min="2" max="2" width="4.28515625" customWidth="1"/>
    <col min="3" max="3" width="11.5703125" customWidth="1"/>
    <col min="4" max="4" width="21.140625" customWidth="1"/>
    <col min="5" max="5" width="11" customWidth="1"/>
    <col min="6" max="6" width="5.85546875" customWidth="1"/>
    <col min="7" max="7" width="14.140625" customWidth="1"/>
    <col min="8" max="8" width="11.7109375" customWidth="1"/>
    <col min="9" max="9" width="9" customWidth="1"/>
    <col min="10" max="10" width="11.140625" customWidth="1"/>
    <col min="11" max="11" width="11.7109375" customWidth="1"/>
    <col min="12" max="12" width="9" customWidth="1"/>
    <col min="13" max="13" width="7.7109375" customWidth="1"/>
    <col min="14" max="14" width="10.7109375" customWidth="1"/>
    <col min="15" max="15" width="9" customWidth="1"/>
    <col min="16" max="16" width="15.140625" customWidth="1"/>
    <col min="17" max="17" width="10.7109375" customWidth="1"/>
    <col min="18" max="18" width="9" customWidth="1"/>
    <col min="19" max="19" width="15.140625" customWidth="1"/>
    <col min="20" max="20" width="10.7109375" customWidth="1"/>
    <col min="21" max="21" width="9" customWidth="1"/>
    <col min="22" max="22" width="15.28515625" customWidth="1"/>
  </cols>
  <sheetData>
    <row r="1" spans="1:22" ht="18" customHeight="1" x14ac:dyDescent="0.25">
      <c r="A1" s="7" t="s">
        <v>6</v>
      </c>
      <c r="B1" s="8"/>
      <c r="C1" s="8"/>
      <c r="D1" s="8"/>
      <c r="E1" s="8"/>
      <c r="F1" s="8"/>
      <c r="G1" s="9"/>
      <c r="H1" s="7" t="s">
        <v>74</v>
      </c>
      <c r="I1" s="8"/>
      <c r="J1" s="9"/>
      <c r="K1" s="7" t="s">
        <v>17</v>
      </c>
      <c r="L1" s="8"/>
      <c r="M1" s="9"/>
      <c r="N1" s="7" t="s">
        <v>57</v>
      </c>
      <c r="O1" s="8"/>
      <c r="P1" s="9"/>
      <c r="Q1" s="7" t="s">
        <v>38</v>
      </c>
      <c r="R1" s="8"/>
      <c r="S1" s="9"/>
      <c r="T1" s="7" t="s">
        <v>64</v>
      </c>
      <c r="U1" s="8"/>
      <c r="V1" s="9"/>
    </row>
    <row r="2" spans="1:22" ht="18" customHeight="1" x14ac:dyDescent="0.25">
      <c r="A2" s="6" t="s">
        <v>63</v>
      </c>
      <c r="B2" s="6" t="s">
        <v>71</v>
      </c>
      <c r="C2" s="6" t="s">
        <v>27</v>
      </c>
      <c r="D2" s="6" t="s">
        <v>39</v>
      </c>
      <c r="E2" s="6" t="s">
        <v>36</v>
      </c>
      <c r="F2" s="6" t="s">
        <v>7</v>
      </c>
      <c r="G2" s="6" t="s">
        <v>59</v>
      </c>
      <c r="H2" s="6" t="s">
        <v>55</v>
      </c>
      <c r="I2" s="6" t="s">
        <v>54</v>
      </c>
      <c r="J2" s="6" t="s">
        <v>68</v>
      </c>
      <c r="K2" s="6" t="s">
        <v>55</v>
      </c>
      <c r="L2" s="6" t="s">
        <v>54</v>
      </c>
      <c r="M2" s="6" t="s">
        <v>40</v>
      </c>
      <c r="N2" s="6" t="s">
        <v>55</v>
      </c>
      <c r="O2" s="6" t="s">
        <v>54</v>
      </c>
      <c r="P2" s="6" t="s">
        <v>53</v>
      </c>
      <c r="Q2" s="6" t="s">
        <v>55</v>
      </c>
      <c r="R2" s="6" t="s">
        <v>54</v>
      </c>
      <c r="S2" s="6" t="s">
        <v>53</v>
      </c>
      <c r="T2" s="6" t="s">
        <v>55</v>
      </c>
      <c r="U2" s="6" t="s">
        <v>54</v>
      </c>
      <c r="V2" s="6" t="s">
        <v>53</v>
      </c>
    </row>
    <row r="3" spans="1:22" x14ac:dyDescent="0.25">
      <c r="A3" s="1"/>
      <c r="B3" s="1" t="b">
        <v>0</v>
      </c>
      <c r="C3" s="1" t="s">
        <v>25</v>
      </c>
      <c r="D3" s="2">
        <v>44333.537557870397</v>
      </c>
      <c r="E3" s="4" t="s">
        <v>6</v>
      </c>
      <c r="F3" s="5" t="s">
        <v>63</v>
      </c>
      <c r="G3" s="1" t="s">
        <v>14</v>
      </c>
      <c r="H3" s="3">
        <v>8.0079999999999991</v>
      </c>
      <c r="I3" s="3">
        <v>114.867072934085</v>
      </c>
      <c r="J3" s="3"/>
      <c r="K3" s="5">
        <v>9547.9179999999997</v>
      </c>
      <c r="L3" s="5">
        <v>3.7309884465513798</v>
      </c>
      <c r="M3" s="5"/>
      <c r="N3" s="3">
        <v>22.024999999999999</v>
      </c>
      <c r="O3" s="3">
        <v>148.16500772753901</v>
      </c>
      <c r="P3" s="3"/>
      <c r="Q3" s="5">
        <v>2.0019999999999998</v>
      </c>
      <c r="R3" s="5">
        <v>210.81851067789199</v>
      </c>
      <c r="S3" s="5"/>
      <c r="T3" s="3">
        <v>4.0039999999999996</v>
      </c>
      <c r="U3" s="3">
        <v>174.80147469502501</v>
      </c>
      <c r="V3" s="3"/>
    </row>
    <row r="4" spans="1:22" x14ac:dyDescent="0.25">
      <c r="A4" s="1"/>
      <c r="B4" s="1" t="b">
        <v>0</v>
      </c>
      <c r="C4" s="1" t="s">
        <v>43</v>
      </c>
      <c r="D4" s="2">
        <v>44333.539942129602</v>
      </c>
      <c r="E4" s="4" t="s">
        <v>6</v>
      </c>
      <c r="F4" s="5" t="s">
        <v>63</v>
      </c>
      <c r="G4" s="1" t="s">
        <v>14</v>
      </c>
      <c r="H4" s="3">
        <v>9.01</v>
      </c>
      <c r="I4" s="3">
        <v>152.268813948483</v>
      </c>
      <c r="J4" s="3"/>
      <c r="K4" s="5">
        <v>9173.2839999999997</v>
      </c>
      <c r="L4" s="5">
        <v>5.0886510899808899</v>
      </c>
      <c r="M4" s="5"/>
      <c r="N4" s="3">
        <v>22.024000000000001</v>
      </c>
      <c r="O4" s="3">
        <v>73.610338116326503</v>
      </c>
      <c r="P4" s="3"/>
      <c r="Q4" s="5">
        <v>7.0069999999999997</v>
      </c>
      <c r="R4" s="5">
        <v>135.52618543578799</v>
      </c>
      <c r="S4" s="5"/>
      <c r="T4" s="3">
        <v>12.013999999999999</v>
      </c>
      <c r="U4" s="3">
        <v>140.563956357395</v>
      </c>
      <c r="V4" s="3"/>
    </row>
    <row r="5" spans="1:22" x14ac:dyDescent="0.25">
      <c r="A5" s="1"/>
      <c r="B5" s="1" t="b">
        <v>0</v>
      </c>
      <c r="C5" s="1" t="s">
        <v>30</v>
      </c>
      <c r="D5" s="2">
        <v>44333.542280092603</v>
      </c>
      <c r="E5" s="4" t="s">
        <v>21</v>
      </c>
      <c r="F5" s="5" t="s">
        <v>46</v>
      </c>
      <c r="G5" s="1" t="s">
        <v>60</v>
      </c>
      <c r="H5" s="3">
        <v>4.0039999999999996</v>
      </c>
      <c r="I5" s="3">
        <v>174.80147469502501</v>
      </c>
      <c r="J5" s="3"/>
      <c r="K5" s="5">
        <v>3138.9540000000002</v>
      </c>
      <c r="L5" s="5">
        <v>6.3179247049273499</v>
      </c>
      <c r="M5" s="5"/>
      <c r="N5" s="3">
        <v>875317.26699999999</v>
      </c>
      <c r="O5" s="3">
        <v>0.62609156883411599</v>
      </c>
      <c r="P5" s="3">
        <v>100</v>
      </c>
      <c r="Q5" s="5">
        <v>286372.26899999997</v>
      </c>
      <c r="R5" s="5">
        <v>0.85111971919153495</v>
      </c>
      <c r="S5" s="5">
        <v>100</v>
      </c>
      <c r="T5" s="3">
        <v>485392.46</v>
      </c>
      <c r="U5" s="3">
        <v>0.81777483665765505</v>
      </c>
      <c r="V5" s="3">
        <v>100</v>
      </c>
    </row>
    <row r="6" spans="1:22" x14ac:dyDescent="0.25">
      <c r="A6" s="1"/>
      <c r="B6" s="1" t="b">
        <v>0</v>
      </c>
      <c r="C6" s="1" t="s">
        <v>3</v>
      </c>
      <c r="D6" s="2">
        <v>44333.544687499998</v>
      </c>
      <c r="E6" s="4" t="s">
        <v>6</v>
      </c>
      <c r="F6" s="5" t="s">
        <v>63</v>
      </c>
      <c r="G6" s="1" t="s">
        <v>14</v>
      </c>
      <c r="H6" s="3">
        <v>7.0069999999999997</v>
      </c>
      <c r="I6" s="3">
        <v>135.52618543578799</v>
      </c>
      <c r="J6" s="3"/>
      <c r="K6" s="5">
        <v>9185.3330000000005</v>
      </c>
      <c r="L6" s="5">
        <v>4.1595492010048902</v>
      </c>
      <c r="M6" s="5"/>
      <c r="N6" s="3">
        <v>30.035</v>
      </c>
      <c r="O6" s="3">
        <v>52.118887124476601</v>
      </c>
      <c r="P6" s="3">
        <v>3.4313272606788401E-3</v>
      </c>
      <c r="Q6" s="5">
        <v>11.012</v>
      </c>
      <c r="R6" s="5">
        <v>168.45916941070899</v>
      </c>
      <c r="S6" s="5">
        <v>3.8453443968068002E-3</v>
      </c>
      <c r="T6" s="3">
        <v>21.023</v>
      </c>
      <c r="U6" s="3">
        <v>72.575646278453902</v>
      </c>
      <c r="V6" s="3">
        <v>4.3311344391299402E-3</v>
      </c>
    </row>
    <row r="7" spans="1:22" x14ac:dyDescent="0.25">
      <c r="A7" s="1"/>
      <c r="B7" s="1" t="b">
        <v>0</v>
      </c>
      <c r="C7" s="1" t="s">
        <v>0</v>
      </c>
      <c r="D7" s="2">
        <v>44333.547002314801</v>
      </c>
      <c r="E7" s="4" t="s">
        <v>42</v>
      </c>
      <c r="F7" s="5" t="s">
        <v>5</v>
      </c>
      <c r="G7" s="1" t="s">
        <v>12</v>
      </c>
      <c r="H7" s="3">
        <v>11991.459000000001</v>
      </c>
      <c r="I7" s="3">
        <v>4.5761816507211099</v>
      </c>
      <c r="J7" s="3">
        <v>0.1</v>
      </c>
      <c r="K7" s="5">
        <v>14343.311</v>
      </c>
      <c r="L7" s="5">
        <v>3.0896191797969701</v>
      </c>
      <c r="M7" s="5">
        <v>0.1</v>
      </c>
      <c r="N7" s="3">
        <v>881193.96100000001</v>
      </c>
      <c r="O7" s="3">
        <v>1.00774078336513</v>
      </c>
      <c r="P7" s="3">
        <v>100.67137873563701</v>
      </c>
      <c r="Q7" s="5">
        <v>286560.08799999999</v>
      </c>
      <c r="R7" s="5">
        <v>0.95004066955463695</v>
      </c>
      <c r="S7" s="5">
        <v>100.065585610177</v>
      </c>
      <c r="T7" s="3">
        <v>484952.82299999997</v>
      </c>
      <c r="U7" s="3">
        <v>0.74026389405812698</v>
      </c>
      <c r="V7" s="3">
        <v>99.909426487589002</v>
      </c>
    </row>
    <row r="8" spans="1:22" x14ac:dyDescent="0.25">
      <c r="A8" s="1"/>
      <c r="B8" s="1" t="b">
        <v>0</v>
      </c>
      <c r="C8" s="1" t="s">
        <v>13</v>
      </c>
      <c r="D8" s="2">
        <v>44333.549398148098</v>
      </c>
      <c r="E8" s="4" t="s">
        <v>6</v>
      </c>
      <c r="F8" s="5" t="s">
        <v>63</v>
      </c>
      <c r="G8" s="1" t="s">
        <v>14</v>
      </c>
      <c r="H8" s="3">
        <v>13.013</v>
      </c>
      <c r="I8" s="3">
        <v>81.488454267029297</v>
      </c>
      <c r="J8" s="3">
        <v>7.5153566791283101E-5</v>
      </c>
      <c r="K8" s="5">
        <v>9031.0779999999995</v>
      </c>
      <c r="L8" s="5">
        <v>2.4344438773322499</v>
      </c>
      <c r="M8" s="5">
        <v>5.2587792409684898E-2</v>
      </c>
      <c r="N8" s="3">
        <v>41.046999999999997</v>
      </c>
      <c r="O8" s="3">
        <v>50.710732326840599</v>
      </c>
      <c r="P8" s="3">
        <v>4.6893853860191202E-3</v>
      </c>
      <c r="Q8" s="5">
        <v>11.010999999999999</v>
      </c>
      <c r="R8" s="5">
        <v>79.599548706446697</v>
      </c>
      <c r="S8" s="5">
        <v>3.8449952009843502E-3</v>
      </c>
      <c r="T8" s="3">
        <v>10.01</v>
      </c>
      <c r="U8" s="3">
        <v>141.421356237309</v>
      </c>
      <c r="V8" s="3">
        <v>2.06224876257864E-3</v>
      </c>
    </row>
    <row r="9" spans="1:22" x14ac:dyDescent="0.25">
      <c r="A9" s="1"/>
      <c r="B9" s="1" t="b">
        <v>0</v>
      </c>
      <c r="C9" s="1" t="s">
        <v>26</v>
      </c>
      <c r="D9" s="2">
        <v>44333.551724536999</v>
      </c>
      <c r="E9" s="4" t="s">
        <v>42</v>
      </c>
      <c r="F9" s="5" t="s">
        <v>31</v>
      </c>
      <c r="G9" s="1" t="s">
        <v>47</v>
      </c>
      <c r="H9" s="3">
        <v>121593.306</v>
      </c>
      <c r="I9" s="3">
        <v>1.9985415510072999</v>
      </c>
      <c r="J9" s="3">
        <v>1.0001396513777101</v>
      </c>
      <c r="K9" s="5">
        <v>121210.594</v>
      </c>
      <c r="L9" s="5">
        <v>1.6491784984865601</v>
      </c>
      <c r="M9" s="5">
        <v>1.0005057441918499</v>
      </c>
      <c r="N9" s="3">
        <v>873146.92299999995</v>
      </c>
      <c r="O9" s="3">
        <v>0.90425441056573796</v>
      </c>
      <c r="P9" s="3">
        <v>99.752050589903405</v>
      </c>
      <c r="Q9" s="5">
        <v>285538.266</v>
      </c>
      <c r="R9" s="5">
        <v>1.0484666726751699</v>
      </c>
      <c r="S9" s="5">
        <v>99.708769636490203</v>
      </c>
      <c r="T9" s="3">
        <v>482783.913</v>
      </c>
      <c r="U9" s="3">
        <v>1.3341114795390501</v>
      </c>
      <c r="V9" s="3">
        <v>99.462590127584605</v>
      </c>
    </row>
    <row r="10" spans="1:22" x14ac:dyDescent="0.25">
      <c r="A10" s="1"/>
      <c r="B10" s="1" t="b">
        <v>0</v>
      </c>
      <c r="C10" s="1" t="s">
        <v>24</v>
      </c>
      <c r="D10" s="2">
        <v>44333.554120370398</v>
      </c>
      <c r="E10" s="4" t="s">
        <v>6</v>
      </c>
      <c r="F10" s="5" t="s">
        <v>63</v>
      </c>
      <c r="G10" s="1" t="s">
        <v>14</v>
      </c>
      <c r="H10" s="3">
        <v>92.106999999999999</v>
      </c>
      <c r="I10" s="3">
        <v>31.9167112553645</v>
      </c>
      <c r="J10" s="3">
        <v>7.2469618836475103E-4</v>
      </c>
      <c r="K10" s="5">
        <v>8819.6779999999999</v>
      </c>
      <c r="L10" s="5">
        <v>3.3759821394364198</v>
      </c>
      <c r="M10" s="5">
        <v>4.8136851433320603E-2</v>
      </c>
      <c r="N10" s="3">
        <v>28.03</v>
      </c>
      <c r="O10" s="3">
        <v>62.548000903146203</v>
      </c>
      <c r="P10" s="3">
        <v>3.2022674585259802E-3</v>
      </c>
      <c r="Q10" s="5">
        <v>6.0060000000000002</v>
      </c>
      <c r="R10" s="5">
        <v>140.54567378526099</v>
      </c>
      <c r="S10" s="5">
        <v>2.0972701096278299E-3</v>
      </c>
      <c r="T10" s="3">
        <v>21.023</v>
      </c>
      <c r="U10" s="3">
        <v>115.45425347630101</v>
      </c>
      <c r="V10" s="3">
        <v>4.3311344391299402E-3</v>
      </c>
    </row>
    <row r="11" spans="1:22" x14ac:dyDescent="0.25">
      <c r="A11" s="1"/>
      <c r="B11" s="1" t="b">
        <v>0</v>
      </c>
      <c r="C11" s="1" t="s">
        <v>41</v>
      </c>
      <c r="D11" s="2">
        <v>44333.556446759299</v>
      </c>
      <c r="E11" s="4" t="s">
        <v>42</v>
      </c>
      <c r="F11" s="5" t="s">
        <v>66</v>
      </c>
      <c r="G11" s="1" t="s">
        <v>10</v>
      </c>
      <c r="H11" s="3">
        <v>593067.348</v>
      </c>
      <c r="I11" s="3">
        <v>1.0877728096517001</v>
      </c>
      <c r="J11" s="3">
        <v>4.9951600540832404</v>
      </c>
      <c r="K11" s="5">
        <v>577634.40599999996</v>
      </c>
      <c r="L11" s="5">
        <v>1.4218417574583799</v>
      </c>
      <c r="M11" s="5">
        <v>4.9947454179536397</v>
      </c>
      <c r="N11" s="3">
        <v>879231.66399999999</v>
      </c>
      <c r="O11" s="3">
        <v>0.27730753958057303</v>
      </c>
      <c r="P11" s="3">
        <v>100.447197507415</v>
      </c>
      <c r="Q11" s="5">
        <v>287313.02500000002</v>
      </c>
      <c r="R11" s="5">
        <v>1.0793449042958601</v>
      </c>
      <c r="S11" s="5">
        <v>100.32850806514401</v>
      </c>
      <c r="T11" s="3">
        <v>485333.72200000001</v>
      </c>
      <c r="U11" s="3">
        <v>0.90816963297124298</v>
      </c>
      <c r="V11" s="3">
        <v>99.987898864353994</v>
      </c>
    </row>
    <row r="12" spans="1:22" x14ac:dyDescent="0.25">
      <c r="A12" s="1"/>
      <c r="B12" s="1" t="b">
        <v>0</v>
      </c>
      <c r="C12" s="1" t="s">
        <v>52</v>
      </c>
      <c r="D12" s="2">
        <v>44333.558831018498</v>
      </c>
      <c r="E12" s="4" t="s">
        <v>6</v>
      </c>
      <c r="F12" s="5" t="s">
        <v>63</v>
      </c>
      <c r="G12" s="1" t="s">
        <v>14</v>
      </c>
      <c r="H12" s="3">
        <v>509.596</v>
      </c>
      <c r="I12" s="3">
        <v>18.440606193149701</v>
      </c>
      <c r="J12" s="3">
        <v>4.2584202642341196E-3</v>
      </c>
      <c r="K12" s="5">
        <v>9083.2109999999993</v>
      </c>
      <c r="L12" s="5">
        <v>4.7261655858617599</v>
      </c>
      <c r="M12" s="5">
        <v>5.16802183734065E-2</v>
      </c>
      <c r="N12" s="3">
        <v>28.030999999999999</v>
      </c>
      <c r="O12" s="3">
        <v>82.140263123608193</v>
      </c>
      <c r="P12" s="3">
        <v>3.2023817028163301E-3</v>
      </c>
      <c r="Q12" s="5">
        <v>2.0019999999999998</v>
      </c>
      <c r="R12" s="5">
        <v>316.22776601683802</v>
      </c>
      <c r="S12" s="5">
        <v>6.9909003654260995E-4</v>
      </c>
      <c r="T12" s="3">
        <v>21.023</v>
      </c>
      <c r="U12" s="3">
        <v>96.429799296152694</v>
      </c>
      <c r="V12" s="3">
        <v>4.3311344391299402E-3</v>
      </c>
    </row>
    <row r="13" spans="1:22" x14ac:dyDescent="0.25">
      <c r="A13" s="1"/>
      <c r="B13" s="1" t="b">
        <v>0</v>
      </c>
      <c r="C13" s="1" t="s">
        <v>35</v>
      </c>
      <c r="D13" s="2">
        <v>44333.561134259297</v>
      </c>
      <c r="E13" s="4" t="s">
        <v>42</v>
      </c>
      <c r="F13" s="5" t="s">
        <v>70</v>
      </c>
      <c r="G13" s="1" t="s">
        <v>73</v>
      </c>
      <c r="H13" s="3">
        <v>1202570.6499999999</v>
      </c>
      <c r="I13" s="3">
        <v>0.77349265665743905</v>
      </c>
      <c r="J13" s="3">
        <v>10.026314463906701</v>
      </c>
      <c r="K13" s="5">
        <v>1169517.0160000001</v>
      </c>
      <c r="L13" s="5">
        <v>1.3209047329885999</v>
      </c>
      <c r="M13" s="5">
        <v>10.028712870426499</v>
      </c>
      <c r="N13" s="3">
        <v>870018.89099999995</v>
      </c>
      <c r="O13" s="3">
        <v>0.66035705075921902</v>
      </c>
      <c r="P13" s="3">
        <v>99.3946907938696</v>
      </c>
      <c r="Q13" s="5">
        <v>284859.30800000002</v>
      </c>
      <c r="R13" s="5">
        <v>1.0699711529903799</v>
      </c>
      <c r="S13" s="5">
        <v>99.471680339271998</v>
      </c>
      <c r="T13" s="3">
        <v>478458.565</v>
      </c>
      <c r="U13" s="3">
        <v>0.73150921389793899</v>
      </c>
      <c r="V13" s="3">
        <v>98.571486874765199</v>
      </c>
    </row>
    <row r="14" spans="1:22" x14ac:dyDescent="0.25">
      <c r="A14" s="1"/>
      <c r="B14" s="1" t="b">
        <v>0</v>
      </c>
      <c r="C14" s="1" t="s">
        <v>61</v>
      </c>
      <c r="D14" s="2">
        <v>44333.563506944403</v>
      </c>
      <c r="E14" s="4" t="s">
        <v>6</v>
      </c>
      <c r="F14" s="5" t="s">
        <v>63</v>
      </c>
      <c r="G14" s="1" t="s">
        <v>14</v>
      </c>
      <c r="H14" s="3">
        <v>1003.189</v>
      </c>
      <c r="I14" s="3">
        <v>15.3816308506194</v>
      </c>
      <c r="J14" s="3">
        <v>8.3306343568908606E-3</v>
      </c>
      <c r="K14" s="5">
        <v>8801.7309999999998</v>
      </c>
      <c r="L14" s="5">
        <v>3.6493123999187702</v>
      </c>
      <c r="M14" s="5">
        <v>4.8689499942133799E-2</v>
      </c>
      <c r="N14" s="3">
        <v>60.07</v>
      </c>
      <c r="O14" s="3">
        <v>61.863716453737098</v>
      </c>
      <c r="P14" s="3">
        <v>6.8626545213576803E-3</v>
      </c>
      <c r="Q14" s="5">
        <v>10.01</v>
      </c>
      <c r="R14" s="5">
        <v>81.649658092772597</v>
      </c>
      <c r="S14" s="5">
        <v>3.4954501827130502E-3</v>
      </c>
      <c r="T14" s="3">
        <v>9.01</v>
      </c>
      <c r="U14" s="3">
        <v>161.02380871637899</v>
      </c>
      <c r="V14" s="3">
        <v>1.8562299051781701E-3</v>
      </c>
    </row>
    <row r="15" spans="1:22" x14ac:dyDescent="0.25">
      <c r="A15" s="1"/>
      <c r="B15" s="1" t="b">
        <v>0</v>
      </c>
      <c r="C15" s="1" t="s">
        <v>37</v>
      </c>
      <c r="D15" s="2">
        <v>44333.565821759301</v>
      </c>
      <c r="E15" s="4" t="s">
        <v>42</v>
      </c>
      <c r="F15" s="5" t="s">
        <v>69</v>
      </c>
      <c r="G15" s="1" t="s">
        <v>8</v>
      </c>
      <c r="H15" s="3">
        <v>2378230.31</v>
      </c>
      <c r="I15" s="3">
        <v>0.78687388458888097</v>
      </c>
      <c r="J15" s="3">
        <v>19.958596071674499</v>
      </c>
      <c r="K15" s="5">
        <v>2323460.2310000001</v>
      </c>
      <c r="L15" s="5">
        <v>0.52588583495990904</v>
      </c>
      <c r="M15" s="5">
        <v>19.988121639020399</v>
      </c>
      <c r="N15" s="3">
        <v>859120.92500000005</v>
      </c>
      <c r="O15" s="3">
        <v>0.71321259817893301</v>
      </c>
      <c r="P15" s="3">
        <v>98.149660401935193</v>
      </c>
      <c r="Q15" s="5">
        <v>279143.38400000002</v>
      </c>
      <c r="R15" s="5">
        <v>1.0251793086229499</v>
      </c>
      <c r="S15" s="5">
        <v>97.475703557036795</v>
      </c>
      <c r="T15" s="3">
        <v>471021.24200000003</v>
      </c>
      <c r="U15" s="3">
        <v>0.90041072995726001</v>
      </c>
      <c r="V15" s="3">
        <v>97.039258088186997</v>
      </c>
    </row>
    <row r="16" spans="1:22" x14ac:dyDescent="0.25">
      <c r="A16" s="1"/>
      <c r="B16" s="1" t="b">
        <v>0</v>
      </c>
      <c r="C16" s="1" t="s">
        <v>50</v>
      </c>
      <c r="D16" s="2">
        <v>44333.5681944444</v>
      </c>
      <c r="E16" s="4" t="s">
        <v>6</v>
      </c>
      <c r="F16" s="5" t="s">
        <v>63</v>
      </c>
      <c r="G16" s="1" t="s">
        <v>14</v>
      </c>
      <c r="H16" s="3">
        <v>1779.1610000000001</v>
      </c>
      <c r="I16" s="3">
        <v>11.463321181609301</v>
      </c>
      <c r="J16" s="3">
        <v>1.4897506363217201E-2</v>
      </c>
      <c r="K16" s="5">
        <v>9090.1360000000004</v>
      </c>
      <c r="L16" s="5">
        <v>4.2906406112676398</v>
      </c>
      <c r="M16" s="5">
        <v>5.1265723799139497E-2</v>
      </c>
      <c r="N16" s="3">
        <v>28.030999999999999</v>
      </c>
      <c r="O16" s="3">
        <v>87.161809054093695</v>
      </c>
      <c r="P16" s="3">
        <v>3.2023817028163301E-3</v>
      </c>
      <c r="Q16" s="5">
        <v>12.013</v>
      </c>
      <c r="R16" s="5">
        <v>183.426594291817</v>
      </c>
      <c r="S16" s="5">
        <v>4.1948894150781102E-3</v>
      </c>
      <c r="T16" s="3">
        <v>24.027000000000001</v>
      </c>
      <c r="U16" s="3">
        <v>71.3691545376047</v>
      </c>
      <c r="V16" s="3">
        <v>4.9500150867609304E-3</v>
      </c>
    </row>
    <row r="17" spans="1:22" x14ac:dyDescent="0.25">
      <c r="A17" s="1"/>
      <c r="B17" s="1" t="b">
        <v>0</v>
      </c>
      <c r="C17" s="1" t="s">
        <v>9</v>
      </c>
      <c r="D17" s="2">
        <v>44333.570509259298</v>
      </c>
      <c r="E17" s="4" t="s">
        <v>42</v>
      </c>
      <c r="F17" s="5" t="s">
        <v>67</v>
      </c>
      <c r="G17" s="1" t="s">
        <v>72</v>
      </c>
      <c r="H17" s="3">
        <v>5523939.6210000003</v>
      </c>
      <c r="I17" s="3">
        <v>0.49915911983067301</v>
      </c>
      <c r="J17" s="3">
        <v>49.326390436585001</v>
      </c>
      <c r="K17" s="5">
        <v>5476291.0039999997</v>
      </c>
      <c r="L17" s="5">
        <v>0.51690445837687304</v>
      </c>
      <c r="M17" s="5">
        <v>49.479680519319103</v>
      </c>
      <c r="N17" s="3">
        <v>862732.505</v>
      </c>
      <c r="O17" s="3">
        <v>0.59922970944671805</v>
      </c>
      <c r="P17" s="3">
        <v>98.562262796079395</v>
      </c>
      <c r="Q17" s="5">
        <v>275883.98599999998</v>
      </c>
      <c r="R17" s="5">
        <v>0.770695345039623</v>
      </c>
      <c r="S17" s="5">
        <v>96.337535391738598</v>
      </c>
      <c r="T17" s="3">
        <v>463940.55099999998</v>
      </c>
      <c r="U17" s="3">
        <v>0.57378857616617296</v>
      </c>
      <c r="V17" s="3">
        <v>95.580502218761296</v>
      </c>
    </row>
    <row r="18" spans="1:22" x14ac:dyDescent="0.25">
      <c r="A18" s="1"/>
      <c r="B18" s="1" t="b">
        <v>0</v>
      </c>
      <c r="C18" s="1" t="s">
        <v>45</v>
      </c>
      <c r="D18" s="2">
        <v>44333.572881944398</v>
      </c>
      <c r="E18" s="4" t="s">
        <v>6</v>
      </c>
      <c r="F18" s="5" t="s">
        <v>63</v>
      </c>
      <c r="G18" s="1" t="s">
        <v>14</v>
      </c>
      <c r="H18" s="3">
        <v>4988.5460000000003</v>
      </c>
      <c r="I18" s="3">
        <v>7.5537376715263802</v>
      </c>
      <c r="J18" s="3">
        <v>4.4509835357763601E-2</v>
      </c>
      <c r="K18" s="5">
        <v>10472.607</v>
      </c>
      <c r="L18" s="5">
        <v>5.2290279976081901</v>
      </c>
      <c r="M18" s="5">
        <v>6.6299420181382698E-2</v>
      </c>
      <c r="N18" s="3">
        <v>45.051000000000002</v>
      </c>
      <c r="O18" s="3">
        <v>70.473161537311697</v>
      </c>
      <c r="P18" s="3">
        <v>5.1468195245827396E-3</v>
      </c>
      <c r="Q18" s="5">
        <v>14.013999999999999</v>
      </c>
      <c r="R18" s="5">
        <v>83.841985055519103</v>
      </c>
      <c r="S18" s="5">
        <v>4.8936302557982701E-3</v>
      </c>
      <c r="T18" s="3">
        <v>24.027000000000001</v>
      </c>
      <c r="U18" s="3">
        <v>107.953826941271</v>
      </c>
      <c r="V18" s="3">
        <v>4.9500150867609304E-3</v>
      </c>
    </row>
    <row r="19" spans="1:22" x14ac:dyDescent="0.25">
      <c r="A19" s="1"/>
      <c r="B19" s="1" t="b">
        <v>0</v>
      </c>
      <c r="C19" s="1" t="s">
        <v>34</v>
      </c>
      <c r="D19" s="2">
        <v>44333.575185185196</v>
      </c>
      <c r="E19" s="4" t="s">
        <v>6</v>
      </c>
      <c r="F19" s="5" t="s">
        <v>63</v>
      </c>
      <c r="G19" s="1" t="s">
        <v>14</v>
      </c>
      <c r="H19" s="3">
        <v>1210.431</v>
      </c>
      <c r="I19" s="3">
        <v>7.9383110243401003</v>
      </c>
      <c r="J19" s="3">
        <v>1.0772878860517299E-2</v>
      </c>
      <c r="K19" s="5">
        <v>8393.01</v>
      </c>
      <c r="L19" s="5">
        <v>4.2929502796979699</v>
      </c>
      <c r="M19" s="5">
        <v>4.7498956713729799E-2</v>
      </c>
      <c r="N19" s="3">
        <v>28.032</v>
      </c>
      <c r="O19" s="3">
        <v>78.612126689150102</v>
      </c>
      <c r="P19" s="3">
        <v>3.20249594710669E-3</v>
      </c>
      <c r="Q19" s="5">
        <v>6.0060000000000002</v>
      </c>
      <c r="R19" s="5">
        <v>179.16128329552299</v>
      </c>
      <c r="S19" s="5">
        <v>2.0972701096278299E-3</v>
      </c>
      <c r="T19" s="3">
        <v>13.013</v>
      </c>
      <c r="U19" s="3">
        <v>72.975638311577995</v>
      </c>
      <c r="V19" s="3">
        <v>2.6809233913522301E-3</v>
      </c>
    </row>
    <row r="20" spans="1:22" x14ac:dyDescent="0.25">
      <c r="A20" s="1"/>
      <c r="B20" s="1" t="b">
        <v>0</v>
      </c>
      <c r="C20" s="1" t="s">
        <v>65</v>
      </c>
      <c r="D20" s="2">
        <v>44333.577534722201</v>
      </c>
      <c r="E20" s="4" t="s">
        <v>6</v>
      </c>
      <c r="F20" s="5" t="s">
        <v>63</v>
      </c>
      <c r="G20" s="1" t="s">
        <v>20</v>
      </c>
      <c r="H20" s="3">
        <v>92749.771999999997</v>
      </c>
      <c r="I20" s="3">
        <v>1.35938206275358</v>
      </c>
      <c r="J20" s="3">
        <v>0.82818017458963</v>
      </c>
      <c r="K20" s="5">
        <v>26673.881000000001</v>
      </c>
      <c r="L20" s="5">
        <v>1.99821281660023</v>
      </c>
      <c r="M20" s="5">
        <v>0.21276599998816001</v>
      </c>
      <c r="N20" s="3">
        <v>846608.57700000005</v>
      </c>
      <c r="O20" s="3">
        <v>0.94374934891870499</v>
      </c>
      <c r="P20" s="3">
        <v>96.720196084055999</v>
      </c>
      <c r="Q20" s="5">
        <v>274414.413</v>
      </c>
      <c r="R20" s="5">
        <v>1.0256372348848499</v>
      </c>
      <c r="S20" s="5">
        <v>95.824366639355006</v>
      </c>
      <c r="T20" s="3">
        <v>465441.00599999999</v>
      </c>
      <c r="U20" s="3">
        <v>0.57416261008063096</v>
      </c>
      <c r="V20" s="3">
        <v>95.8896242434421</v>
      </c>
    </row>
    <row r="21" spans="1:22" x14ac:dyDescent="0.25">
      <c r="A21" s="1"/>
      <c r="B21" s="1" t="b">
        <v>0</v>
      </c>
      <c r="C21" s="1" t="s">
        <v>22</v>
      </c>
      <c r="D21" s="2">
        <v>44333.579849537004</v>
      </c>
      <c r="E21" s="4" t="s">
        <v>6</v>
      </c>
      <c r="F21" s="5" t="s">
        <v>63</v>
      </c>
      <c r="G21" s="1" t="s">
        <v>14</v>
      </c>
      <c r="H21" s="3">
        <v>450.52199999999999</v>
      </c>
      <c r="I21" s="3">
        <v>15.4322286917246</v>
      </c>
      <c r="J21" s="3">
        <v>3.9872154080109901E-3</v>
      </c>
      <c r="K21" s="5">
        <v>7596.6059999999998</v>
      </c>
      <c r="L21" s="5">
        <v>4.4228154360052603</v>
      </c>
      <c r="M21" s="5">
        <v>4.0299117366254002E-2</v>
      </c>
      <c r="N21" s="3">
        <v>37.040999999999997</v>
      </c>
      <c r="O21" s="3">
        <v>46.033081312247504</v>
      </c>
      <c r="P21" s="3">
        <v>4.2317227588748096E-3</v>
      </c>
      <c r="Q21" s="5">
        <v>10.01</v>
      </c>
      <c r="R21" s="5">
        <v>94.280904158206297</v>
      </c>
      <c r="S21" s="5">
        <v>3.4954501827130502E-3</v>
      </c>
      <c r="T21" s="3">
        <v>23.026</v>
      </c>
      <c r="U21" s="3">
        <v>71.156184116260505</v>
      </c>
      <c r="V21" s="3">
        <v>4.7437902105030598E-3</v>
      </c>
    </row>
    <row r="22" spans="1:22" x14ac:dyDescent="0.25">
      <c r="A22" s="1"/>
      <c r="B22" s="1" t="b">
        <v>0</v>
      </c>
      <c r="C22" s="1" t="s">
        <v>44</v>
      </c>
      <c r="D22" s="2">
        <v>44333.582199074102</v>
      </c>
      <c r="E22" s="4" t="s">
        <v>6</v>
      </c>
      <c r="F22" s="5" t="s">
        <v>63</v>
      </c>
      <c r="G22" s="1" t="s">
        <v>49</v>
      </c>
      <c r="H22" s="3">
        <v>814934.70499999996</v>
      </c>
      <c r="I22" s="3">
        <v>0.72631703418672899</v>
      </c>
      <c r="J22" s="3">
        <v>7.2769837889813997</v>
      </c>
      <c r="K22" s="5">
        <v>221729.64199999999</v>
      </c>
      <c r="L22" s="5">
        <v>0.817201496944443</v>
      </c>
      <c r="M22" s="5">
        <v>1.9761551127997901</v>
      </c>
      <c r="N22" s="3">
        <v>795964.478</v>
      </c>
      <c r="O22" s="3">
        <v>0.42645884607391998</v>
      </c>
      <c r="P22" s="3">
        <v>90.934396933357903</v>
      </c>
      <c r="Q22" s="5">
        <v>258196.557</v>
      </c>
      <c r="R22" s="5">
        <v>1.3559910679345799</v>
      </c>
      <c r="S22" s="5">
        <v>90.161159075077904</v>
      </c>
      <c r="T22" s="3">
        <v>436302.859</v>
      </c>
      <c r="U22" s="3">
        <v>0.64266787452821295</v>
      </c>
      <c r="V22" s="3">
        <v>89.886616491735396</v>
      </c>
    </row>
    <row r="23" spans="1:22" x14ac:dyDescent="0.25">
      <c r="A23" s="1"/>
      <c r="B23" s="1" t="b">
        <v>0</v>
      </c>
      <c r="C23" s="1" t="s">
        <v>51</v>
      </c>
      <c r="D23" s="2">
        <v>44333.584513888898</v>
      </c>
      <c r="E23" s="4" t="s">
        <v>6</v>
      </c>
      <c r="F23" s="5" t="s">
        <v>63</v>
      </c>
      <c r="G23" s="1" t="s">
        <v>14</v>
      </c>
      <c r="H23" s="3">
        <v>1276.5229999999999</v>
      </c>
      <c r="I23" s="3">
        <v>8.9141268620555092</v>
      </c>
      <c r="J23" s="3">
        <v>1.13630522482559E-2</v>
      </c>
      <c r="K23" s="5">
        <v>7450.3940000000002</v>
      </c>
      <c r="L23" s="5">
        <v>3.9143271768819101</v>
      </c>
      <c r="M23" s="5">
        <v>3.8977297146022702E-2</v>
      </c>
      <c r="N23" s="3">
        <v>72.081000000000003</v>
      </c>
      <c r="O23" s="3">
        <v>46.668179326588302</v>
      </c>
      <c r="P23" s="3">
        <v>8.2348426927581694E-3</v>
      </c>
      <c r="Q23" s="5">
        <v>8.0079999999999991</v>
      </c>
      <c r="R23" s="5">
        <v>114.867072934085</v>
      </c>
      <c r="S23" s="5">
        <v>2.7963601461704398E-3</v>
      </c>
      <c r="T23" s="3">
        <v>15.016</v>
      </c>
      <c r="U23" s="3">
        <v>110.002760675619</v>
      </c>
      <c r="V23" s="3">
        <v>3.0935791627253501E-3</v>
      </c>
    </row>
  </sheetData>
  <mergeCells count="6">
    <mergeCell ref="T1:V1"/>
    <mergeCell ref="A1:G1"/>
    <mergeCell ref="H1:J1"/>
    <mergeCell ref="K1:M1"/>
    <mergeCell ref="N1:P1"/>
    <mergeCell ref="Q1:S1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ValueList_Helper!$A$1:$A$20</xm:f>
          </x14:formula1>
          <xm:sqref>E3:E23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"/>
  <sheetViews>
    <sheetView topLeftCell="I1" zoomScale="80" zoomScaleNormal="80" workbookViewId="0">
      <selection activeCell="Q2" sqref="Q2:Q8"/>
    </sheetView>
  </sheetViews>
  <sheetFormatPr defaultRowHeight="15" x14ac:dyDescent="0.25"/>
  <cols>
    <col min="1" max="1" width="36.7109375" bestFit="1" customWidth="1"/>
    <col min="2" max="2" width="12" bestFit="1" customWidth="1"/>
    <col min="3" max="3" width="8.7109375" bestFit="1" customWidth="1"/>
    <col min="4" max="4" width="17.85546875" bestFit="1" customWidth="1"/>
    <col min="5" max="5" width="19.140625" bestFit="1" customWidth="1"/>
    <col min="6" max="6" width="21.42578125" bestFit="1" customWidth="1"/>
    <col min="7" max="7" width="22.42578125" bestFit="1" customWidth="1"/>
    <col min="8" max="8" width="18.140625" bestFit="1" customWidth="1"/>
    <col min="9" max="9" width="20" bestFit="1" customWidth="1"/>
    <col min="10" max="10" width="21.7109375" bestFit="1" customWidth="1"/>
    <col min="11" max="11" width="23.5703125" bestFit="1" customWidth="1"/>
    <col min="12" max="12" width="17.85546875" bestFit="1" customWidth="1"/>
    <col min="13" max="13" width="19.5703125" bestFit="1" customWidth="1"/>
    <col min="14" max="14" width="33" bestFit="1" customWidth="1"/>
    <col min="15" max="15" width="34.5703125" bestFit="1" customWidth="1"/>
    <col min="16" max="16" width="25.5703125" bestFit="1" customWidth="1"/>
    <col min="17" max="17" width="27.140625" bestFit="1" customWidth="1"/>
    <col min="18" max="18" width="17.42578125" bestFit="1" customWidth="1"/>
    <col min="19" max="19" width="19.28515625" bestFit="1" customWidth="1"/>
    <col min="21" max="21" width="14.85546875" bestFit="1" customWidth="1"/>
    <col min="22" max="22" width="16.42578125" bestFit="1" customWidth="1"/>
    <col min="23" max="24" width="13" bestFit="1" customWidth="1"/>
    <col min="25" max="25" width="12.42578125" bestFit="1" customWidth="1"/>
    <col min="26" max="26" width="13" bestFit="1" customWidth="1"/>
    <col min="27" max="27" width="13.5703125" bestFit="1" customWidth="1"/>
  </cols>
  <sheetData>
    <row r="1" spans="1:27" x14ac:dyDescent="0.25">
      <c r="B1" t="s">
        <v>94</v>
      </c>
      <c r="C1" t="s">
        <v>145</v>
      </c>
      <c r="D1" t="s">
        <v>95</v>
      </c>
      <c r="E1" t="s">
        <v>146</v>
      </c>
      <c r="F1" t="s">
        <v>96</v>
      </c>
      <c r="G1" t="s">
        <v>147</v>
      </c>
      <c r="H1" t="s">
        <v>97</v>
      </c>
      <c r="I1" t="s">
        <v>148</v>
      </c>
      <c r="J1" t="s">
        <v>98</v>
      </c>
      <c r="K1" t="s">
        <v>149</v>
      </c>
      <c r="L1" t="s">
        <v>89</v>
      </c>
      <c r="M1" t="s">
        <v>150</v>
      </c>
      <c r="N1" t="s">
        <v>101</v>
      </c>
      <c r="O1" t="s">
        <v>151</v>
      </c>
      <c r="P1" t="s">
        <v>99</v>
      </c>
      <c r="Q1" t="s">
        <v>152</v>
      </c>
      <c r="R1" t="s">
        <v>100</v>
      </c>
      <c r="S1" t="s">
        <v>153</v>
      </c>
      <c r="U1" t="s">
        <v>102</v>
      </c>
      <c r="V1" t="s">
        <v>154</v>
      </c>
      <c r="W1" t="s">
        <v>115</v>
      </c>
      <c r="X1" t="s">
        <v>155</v>
      </c>
    </row>
    <row r="2" spans="1:27" x14ac:dyDescent="0.25">
      <c r="A2">
        <v>0</v>
      </c>
      <c r="B2">
        <v>6.2866</v>
      </c>
      <c r="C2">
        <v>1E-4</v>
      </c>
      <c r="D2">
        <v>26.688700000000001</v>
      </c>
      <c r="E2">
        <v>1E-4</v>
      </c>
      <c r="G2">
        <f>SQRT((C2^2)+(E2^2))</f>
        <v>1.4142135623730951E-4</v>
      </c>
      <c r="H2">
        <v>26.688700000000001</v>
      </c>
      <c r="I2">
        <v>1E-4</v>
      </c>
      <c r="J2">
        <f>H2-B2</f>
        <v>20.402100000000001</v>
      </c>
      <c r="K2">
        <f>SQRT((C2^2)+(I2^2))</f>
        <v>1.4142135623730951E-4</v>
      </c>
      <c r="L2">
        <f>H2-B2</f>
        <v>20.402100000000001</v>
      </c>
      <c r="M2">
        <f>SQRT((C2^2)+(I2^2))</f>
        <v>1.4142135623730951E-4</v>
      </c>
      <c r="N2">
        <v>0</v>
      </c>
      <c r="O2">
        <v>0</v>
      </c>
      <c r="P2">
        <f t="shared" ref="P2:P8" si="0">(P$15*1000)*N2</f>
        <v>0</v>
      </c>
      <c r="Q2" t="e">
        <f t="shared" ref="Q2:Q8" si="1">P2*SQRT(((Q$15/P$15)^2)+((O2/N2)^2))</f>
        <v>#DIV/0!</v>
      </c>
      <c r="R2">
        <f t="shared" ref="R2:R8" si="2">(R$15*1000)*N2</f>
        <v>0</v>
      </c>
      <c r="S2" t="e">
        <f t="shared" ref="S2:S8" si="3">R2*SQRT(((S$15/R$15)^2)+((O2/N2)^2))</f>
        <v>#DIV/0!</v>
      </c>
      <c r="U2">
        <v>5</v>
      </c>
      <c r="V2">
        <v>0</v>
      </c>
      <c r="W2">
        <f>U2/5*100</f>
        <v>100</v>
      </c>
      <c r="X2">
        <f t="shared" ref="X2:X8" si="4">W2*SQRT(((V2/U2)^2))</f>
        <v>0</v>
      </c>
    </row>
    <row r="3" spans="1:27" x14ac:dyDescent="0.25">
      <c r="A3">
        <v>0.1</v>
      </c>
      <c r="B3">
        <v>6.2916999999999996</v>
      </c>
      <c r="C3">
        <v>1E-4</v>
      </c>
      <c r="D3">
        <v>8.3104999999999993</v>
      </c>
      <c r="E3">
        <v>1E-4</v>
      </c>
      <c r="F3">
        <f>D3-B3</f>
        <v>2.0187999999999997</v>
      </c>
      <c r="G3">
        <f t="shared" ref="G3:G9" si="5">SQRT((C3^2)+(E3^2))</f>
        <v>1.4142135623730951E-4</v>
      </c>
      <c r="H3">
        <v>26.631699999999999</v>
      </c>
      <c r="I3">
        <v>1E-4</v>
      </c>
      <c r="J3">
        <f>H3-D3</f>
        <v>18.321199999999997</v>
      </c>
      <c r="K3">
        <f t="shared" ref="K3:K9" si="6">SQRT((C3^2)+(I3^2))</f>
        <v>1.4142135623730951E-4</v>
      </c>
      <c r="L3">
        <f>H3-B3</f>
        <v>20.34</v>
      </c>
      <c r="M3">
        <f t="shared" ref="M3:M9" si="7">SQRT((C3^2)+(I3^2))</f>
        <v>1.4142135623730951E-4</v>
      </c>
      <c r="N3">
        <f>(N4*F3)/L3</f>
        <v>1.9641601556999648E-5</v>
      </c>
      <c r="O3">
        <f>N3*SQRT(((O$4/N$4)^2)+((G3/F3)^2)+((M3/L3)^2))</f>
        <v>7.2557271623729242E-9</v>
      </c>
      <c r="P3">
        <f t="shared" si="0"/>
        <v>0.10317491572081039</v>
      </c>
      <c r="Q3">
        <f t="shared" si="1"/>
        <v>4.1792737498293096E-3</v>
      </c>
      <c r="R3">
        <f t="shared" si="2"/>
        <v>9.9195566615941852E-2</v>
      </c>
      <c r="S3">
        <f t="shared" si="3"/>
        <v>4.4097638605524398E-3</v>
      </c>
      <c r="U3">
        <f>((5*J3)+(U4*F3))/L3</f>
        <v>4.9999989694608695</v>
      </c>
      <c r="V3">
        <f>U3*SQRT(((K3/J3)^2)+((V$4/U$4)^2)+((G3/F3)^2)+((M3/L3)^2))</f>
        <v>1.849270327191385E-3</v>
      </c>
      <c r="W3">
        <f t="shared" ref="W3:W7" si="8">U3/5*100</f>
        <v>99.999979389217387</v>
      </c>
      <c r="X3">
        <f t="shared" si="4"/>
        <v>3.6985406543827697E-2</v>
      </c>
    </row>
    <row r="4" spans="1:27" x14ac:dyDescent="0.25">
      <c r="A4">
        <v>1</v>
      </c>
      <c r="B4">
        <v>6.2630999999999997</v>
      </c>
      <c r="C4">
        <v>1E-4</v>
      </c>
      <c r="D4">
        <v>8.2902000000000005</v>
      </c>
      <c r="E4">
        <v>1E-4</v>
      </c>
      <c r="F4">
        <f t="shared" ref="F4:F9" si="9">D4-B4</f>
        <v>2.0271000000000008</v>
      </c>
      <c r="G4">
        <f t="shared" si="5"/>
        <v>1.4142135623730951E-4</v>
      </c>
      <c r="H4">
        <v>26.676300000000001</v>
      </c>
      <c r="I4">
        <v>1E-4</v>
      </c>
      <c r="J4">
        <f t="shared" ref="J4:J9" si="10">H4-D4</f>
        <v>18.386099999999999</v>
      </c>
      <c r="K4">
        <f t="shared" si="6"/>
        <v>1.4142135623730951E-4</v>
      </c>
      <c r="L4">
        <f t="shared" ref="L3:L9" si="11">H4-B4</f>
        <v>20.413200000000003</v>
      </c>
      <c r="M4">
        <f t="shared" si="7"/>
        <v>1.4142135623730951E-4</v>
      </c>
      <c r="N4">
        <f>(N6*F4)/L4</f>
        <v>1.9789487600028379E-4</v>
      </c>
      <c r="O4">
        <f>N4*SQRT(((O$6/N$6)^2)+((G4/F4)^2)+((M4/L4)^2))</f>
        <v>7.176389815813321E-8</v>
      </c>
      <c r="P4">
        <f t="shared" si="0"/>
        <v>1.0395174290475944</v>
      </c>
      <c r="Q4">
        <f t="shared" si="1"/>
        <v>4.2107340845938486E-2</v>
      </c>
      <c r="R4">
        <f t="shared" si="2"/>
        <v>0.99942432384003244</v>
      </c>
      <c r="S4">
        <f t="shared" si="3"/>
        <v>4.442960395553186E-2</v>
      </c>
      <c r="U4">
        <f>((5*J4)+(U6*F4))/L4</f>
        <v>4.9999896170170839</v>
      </c>
      <c r="V4">
        <f>U4*SQRT(((K4/J4)^2)+((V$6/U$6)^2)+((G4/F4)^2)+((M4/L4)^2))</f>
        <v>1.8150503055933999E-3</v>
      </c>
      <c r="W4">
        <f t="shared" si="8"/>
        <v>99.999792340341671</v>
      </c>
      <c r="X4">
        <f t="shared" si="4"/>
        <v>3.6301006111867998E-2</v>
      </c>
    </row>
    <row r="5" spans="1:27" x14ac:dyDescent="0.25">
      <c r="A5">
        <v>5</v>
      </c>
      <c r="B5">
        <v>6.2831999999999999</v>
      </c>
      <c r="C5">
        <v>1E-4</v>
      </c>
      <c r="D5">
        <v>8.2848000000000006</v>
      </c>
      <c r="E5">
        <v>1E-4</v>
      </c>
      <c r="F5">
        <f t="shared" si="9"/>
        <v>2.0016000000000007</v>
      </c>
      <c r="G5">
        <f t="shared" si="5"/>
        <v>1.4142135623730951E-4</v>
      </c>
      <c r="H5">
        <v>26.715499999999999</v>
      </c>
      <c r="I5">
        <v>1E-4</v>
      </c>
      <c r="J5">
        <f t="shared" si="10"/>
        <v>18.430699999999998</v>
      </c>
      <c r="K5">
        <f t="shared" si="6"/>
        <v>1.4142135623730951E-4</v>
      </c>
      <c r="L5">
        <f t="shared" si="11"/>
        <v>20.432299999999998</v>
      </c>
      <c r="M5">
        <f t="shared" si="7"/>
        <v>1.4142135623730951E-4</v>
      </c>
      <c r="N5">
        <f>(N8*F5)/L5</f>
        <v>9.7181630481255445E-4</v>
      </c>
      <c r="O5">
        <f>N5*SQRT(((O$8/N$8)^2)+((G5/F5)^2)+((M5/L5)^2))</f>
        <v>1.1844374642552553E-7</v>
      </c>
      <c r="P5">
        <f t="shared" si="0"/>
        <v>5.1048314494197982</v>
      </c>
      <c r="Q5">
        <f t="shared" si="1"/>
        <v>0.20677213364103406</v>
      </c>
      <c r="R5">
        <f t="shared" si="2"/>
        <v>4.9079434140205498</v>
      </c>
      <c r="S5">
        <f t="shared" si="3"/>
        <v>0.21817714587379702</v>
      </c>
      <c r="U5">
        <f>((5*J5)+(U8*F5))/L5</f>
        <v>4.9999490115545511</v>
      </c>
      <c r="V5">
        <f>U5*SQRT(((K5/J5)^2)+((V$8/U$8)^2)+((G5/F5)^2)+((M5/L5)^2))</f>
        <v>6.151058731920573E-4</v>
      </c>
      <c r="W5">
        <f t="shared" si="8"/>
        <v>99.998980231091011</v>
      </c>
      <c r="X5">
        <f t="shared" si="4"/>
        <v>1.2302117463841144E-2</v>
      </c>
    </row>
    <row r="6" spans="1:27" x14ac:dyDescent="0.25">
      <c r="A6">
        <v>10</v>
      </c>
      <c r="B6">
        <v>6.2675000000000001</v>
      </c>
      <c r="C6">
        <v>1E-4</v>
      </c>
      <c r="D6">
        <v>6.673</v>
      </c>
      <c r="E6">
        <v>1E-4</v>
      </c>
      <c r="F6">
        <f t="shared" si="9"/>
        <v>0.40549999999999997</v>
      </c>
      <c r="G6">
        <f t="shared" si="5"/>
        <v>1.4142135623730951E-4</v>
      </c>
      <c r="H6">
        <v>26.535599999999999</v>
      </c>
      <c r="I6">
        <v>1E-4</v>
      </c>
      <c r="J6">
        <f t="shared" si="10"/>
        <v>19.8626</v>
      </c>
      <c r="K6">
        <f t="shared" si="6"/>
        <v>1.4142135623730951E-4</v>
      </c>
      <c r="L6">
        <f t="shared" si="11"/>
        <v>20.268099999999997</v>
      </c>
      <c r="M6">
        <f t="shared" si="7"/>
        <v>1.4142135623730951E-4</v>
      </c>
      <c r="N6">
        <f>(N9*F6)/L6</f>
        <v>1.9928309815840325E-3</v>
      </c>
      <c r="O6">
        <f t="shared" ref="O5:O7" si="12">N6*SQRT(((O$9/N$9)^2)+((G6/F6)^2)+((M6/L6)^2))</f>
        <v>7.0903908031551691E-7</v>
      </c>
      <c r="P6">
        <f t="shared" si="0"/>
        <v>10.468095891980834</v>
      </c>
      <c r="Q6">
        <f t="shared" si="1"/>
        <v>0.42402658118096587</v>
      </c>
      <c r="R6">
        <f t="shared" si="2"/>
        <v>10.064352329639064</v>
      </c>
      <c r="S6">
        <f t="shared" si="3"/>
        <v>0.44741219654598452</v>
      </c>
      <c r="U6">
        <f>((5*J6)+(U9*F6))/L6</f>
        <v>4.999895441810053</v>
      </c>
      <c r="V6">
        <f t="shared" ref="V5:V7" si="13">U6*SQRT(((K6/J6)^2)+((V$9/U$9)^2)+((G6/F6)^2)+((M6/L6)^2))</f>
        <v>1.7804296113091106E-3</v>
      </c>
      <c r="W6">
        <f t="shared" si="8"/>
        <v>99.997908836201049</v>
      </c>
      <c r="X6">
        <f t="shared" si="4"/>
        <v>3.5608592226182206E-2</v>
      </c>
    </row>
    <row r="7" spans="1:27" x14ac:dyDescent="0.25">
      <c r="A7">
        <v>20</v>
      </c>
      <c r="B7">
        <v>6.2897999999999996</v>
      </c>
      <c r="C7">
        <v>1E-4</v>
      </c>
      <c r="D7">
        <v>7.1031000000000004</v>
      </c>
      <c r="E7">
        <v>1E-4</v>
      </c>
      <c r="F7">
        <f t="shared" si="9"/>
        <v>0.8133000000000008</v>
      </c>
      <c r="G7">
        <f t="shared" si="5"/>
        <v>1.4142135623730951E-4</v>
      </c>
      <c r="H7">
        <v>26.46</v>
      </c>
      <c r="I7">
        <v>1E-4</v>
      </c>
      <c r="J7">
        <f t="shared" si="10"/>
        <v>19.3569</v>
      </c>
      <c r="K7">
        <f t="shared" si="6"/>
        <v>1.4142135623730951E-4</v>
      </c>
      <c r="L7">
        <f t="shared" si="11"/>
        <v>20.170200000000001</v>
      </c>
      <c r="M7">
        <f t="shared" si="7"/>
        <v>1.4142135623730951E-4</v>
      </c>
      <c r="N7">
        <f>(N9*F7)/L7</f>
        <v>4.0163653709633868E-3</v>
      </c>
      <c r="O7">
        <f t="shared" si="12"/>
        <v>7.5347960109935271E-7</v>
      </c>
      <c r="P7">
        <f t="shared" si="0"/>
        <v>21.097473006494926</v>
      </c>
      <c r="Q7">
        <f t="shared" si="1"/>
        <v>0.85456230874232242</v>
      </c>
      <c r="R7">
        <f t="shared" si="2"/>
        <v>20.283765432935454</v>
      </c>
      <c r="S7">
        <f t="shared" si="3"/>
        <v>0.90169679061995667</v>
      </c>
      <c r="U7">
        <f>((5*J7)+(U9*F7))/L7</f>
        <v>4.9997892726993713</v>
      </c>
      <c r="V7">
        <f t="shared" si="13"/>
        <v>9.4083507566622079E-4</v>
      </c>
      <c r="W7">
        <f t="shared" si="8"/>
        <v>99.995785453987423</v>
      </c>
      <c r="X7">
        <f t="shared" si="4"/>
        <v>1.8816701513324416E-2</v>
      </c>
    </row>
    <row r="8" spans="1:27" x14ac:dyDescent="0.25">
      <c r="A8">
        <v>50</v>
      </c>
      <c r="B8">
        <v>6.2652000000000001</v>
      </c>
      <c r="C8">
        <v>1E-4</v>
      </c>
      <c r="D8">
        <v>8.2943999999999996</v>
      </c>
      <c r="E8">
        <v>1E-4</v>
      </c>
      <c r="F8">
        <f t="shared" si="9"/>
        <v>2.0291999999999994</v>
      </c>
      <c r="G8">
        <f t="shared" si="5"/>
        <v>1.4142135623730951E-4</v>
      </c>
      <c r="H8">
        <v>26.64</v>
      </c>
      <c r="I8">
        <v>1E-4</v>
      </c>
      <c r="J8">
        <f t="shared" si="10"/>
        <v>18.345600000000001</v>
      </c>
      <c r="K8">
        <f t="shared" si="6"/>
        <v>1.4142135623730951E-4</v>
      </c>
      <c r="L8">
        <f t="shared" si="11"/>
        <v>20.3748</v>
      </c>
      <c r="M8">
        <f t="shared" si="7"/>
        <v>1.4142135623730951E-4</v>
      </c>
      <c r="N8">
        <f>(N9*F8)/L8</f>
        <v>9.92028491447919E-3</v>
      </c>
      <c r="O8">
        <f>N8*SQRT(((O$9/N$9)^2)+((G8/F8)^2)+((M8/L8)^2))</f>
        <v>9.8278490659563613E-7</v>
      </c>
      <c r="P8">
        <f t="shared" si="0"/>
        <v>52.110035783363358</v>
      </c>
      <c r="Q8">
        <f t="shared" si="1"/>
        <v>2.1107233099194698</v>
      </c>
      <c r="R8">
        <f t="shared" si="2"/>
        <v>50.100205944390503</v>
      </c>
      <c r="S8">
        <f t="shared" si="3"/>
        <v>2.2271458898016414</v>
      </c>
      <c r="U8">
        <f>((5*J8)+(U9*F8))/L8</f>
        <v>4.9994795107844014</v>
      </c>
      <c r="V8">
        <f>U8*SQRT(((K8/J8)^2)+((V$9/U$9)^2)+((G8/F8)^2)+((M8/L8)^2))</f>
        <v>5.0084018164314498E-4</v>
      </c>
      <c r="W8">
        <f>U8/5*100</f>
        <v>99.989590215688025</v>
      </c>
      <c r="X8">
        <f t="shared" si="4"/>
        <v>1.0016803632862899E-2</v>
      </c>
    </row>
    <row r="9" spans="1:27" x14ac:dyDescent="0.25">
      <c r="A9">
        <v>500</v>
      </c>
      <c r="B9">
        <v>6.2827999999999999</v>
      </c>
      <c r="C9">
        <v>1E-4</v>
      </c>
      <c r="D9">
        <v>8.3111999999999995</v>
      </c>
      <c r="E9">
        <v>1E-4</v>
      </c>
      <c r="F9">
        <f t="shared" si="9"/>
        <v>2.0283999999999995</v>
      </c>
      <c r="G9">
        <f t="shared" si="5"/>
        <v>1.4142135623730951E-4</v>
      </c>
      <c r="H9">
        <v>26.646699999999999</v>
      </c>
      <c r="I9">
        <v>1E-4</v>
      </c>
      <c r="J9">
        <f>H9-D9</f>
        <v>18.3355</v>
      </c>
      <c r="K9">
        <f t="shared" si="6"/>
        <v>1.4142135623730951E-4</v>
      </c>
      <c r="L9">
        <f t="shared" si="11"/>
        <v>20.363900000000001</v>
      </c>
      <c r="M9">
        <f t="shared" si="7"/>
        <v>1.4142135623730951E-4</v>
      </c>
      <c r="N9">
        <f>F9/L9</f>
        <v>9.9607639008244958E-2</v>
      </c>
      <c r="O9">
        <f>N9*SQRT(((G9/F9)^2)+((M9/L9)^2))</f>
        <v>6.9790753969409282E-6</v>
      </c>
      <c r="P9">
        <f>(P$15*1000)*N9</f>
        <v>523.22666916956041</v>
      </c>
      <c r="Q9">
        <f>P9*SQRT(((Q$15/P$15)^2)+((O9/N9)^2))</f>
        <v>21.193327915026927</v>
      </c>
      <c r="R9">
        <f>(R$15*1000)*N9</f>
        <v>503.04636116487677</v>
      </c>
      <c r="S9">
        <f>R9*SQRT(((S$15/R$15)^2)+((O9/N9)^2))</f>
        <v>22.362308178481261</v>
      </c>
      <c r="U9">
        <f>((5*J9)+(X15*F9))/L9</f>
        <v>4.9947738696678616</v>
      </c>
      <c r="V9">
        <f>U9*SQRT(((K9/J9)^2)+((Y15/X15)^2)+((G9/F9)^2)+((M9/L9)^2))</f>
        <v>3.5568214120177289E-4</v>
      </c>
      <c r="W9">
        <f>U9/5*100</f>
        <v>99.89547739335724</v>
      </c>
      <c r="X9">
        <f>W9*SQRT(((V9/U9)^2))</f>
        <v>7.1136428240354587E-3</v>
      </c>
    </row>
    <row r="14" spans="1:27" x14ac:dyDescent="0.25">
      <c r="B14" t="s">
        <v>76</v>
      </c>
      <c r="C14" t="s">
        <v>145</v>
      </c>
      <c r="D14" t="s">
        <v>77</v>
      </c>
      <c r="E14" t="s">
        <v>156</v>
      </c>
      <c r="F14" t="s">
        <v>79</v>
      </c>
      <c r="G14" t="s">
        <v>157</v>
      </c>
      <c r="H14" t="s">
        <v>78</v>
      </c>
      <c r="I14" t="s">
        <v>158</v>
      </c>
      <c r="J14" t="s">
        <v>80</v>
      </c>
      <c r="K14" t="s">
        <v>159</v>
      </c>
      <c r="L14" t="s">
        <v>83</v>
      </c>
      <c r="M14" t="s">
        <v>160</v>
      </c>
      <c r="N14" t="s">
        <v>84</v>
      </c>
      <c r="O14" t="s">
        <v>161</v>
      </c>
      <c r="P14" t="s">
        <v>92</v>
      </c>
      <c r="Q14" t="s">
        <v>162</v>
      </c>
      <c r="R14" t="s">
        <v>93</v>
      </c>
      <c r="S14" t="s">
        <v>163</v>
      </c>
      <c r="U14" t="s">
        <v>112</v>
      </c>
      <c r="V14" t="s">
        <v>164</v>
      </c>
      <c r="X14" t="s">
        <v>113</v>
      </c>
      <c r="Y14" t="s">
        <v>165</v>
      </c>
      <c r="Z14" t="s">
        <v>114</v>
      </c>
      <c r="AA14" t="s">
        <v>166</v>
      </c>
    </row>
    <row r="15" spans="1:27" x14ac:dyDescent="0.25">
      <c r="A15" t="s">
        <v>75</v>
      </c>
      <c r="B15">
        <v>6.3369</v>
      </c>
      <c r="C15">
        <v>1E-4</v>
      </c>
      <c r="D15">
        <v>6.4420000000000002</v>
      </c>
      <c r="E15">
        <v>1E-4</v>
      </c>
      <c r="F15">
        <f>D15-B15</f>
        <v>0.10510000000000019</v>
      </c>
      <c r="G15">
        <f>SQRT((C15^2)+(E15^2))</f>
        <v>1.4142135623730951E-4</v>
      </c>
      <c r="H15">
        <v>6.5454999999999997</v>
      </c>
      <c r="I15">
        <v>1E-4</v>
      </c>
      <c r="J15">
        <f>H15-D15</f>
        <v>0.10349999999999948</v>
      </c>
      <c r="K15">
        <f>SQRT((E15^2)+(I15^2))</f>
        <v>1.4142135623730951E-4</v>
      </c>
      <c r="L15">
        <v>26.216000000000001</v>
      </c>
      <c r="M15">
        <v>1E-4</v>
      </c>
      <c r="N15">
        <f>L15-B15</f>
        <v>19.879100000000001</v>
      </c>
      <c r="O15">
        <f>SQRT((C15^2)+(M15^2))</f>
        <v>1.4142135623730951E-4</v>
      </c>
      <c r="P15">
        <f>(B20*F15)/N15</f>
        <v>5.252876931720575</v>
      </c>
      <c r="Q15">
        <f>P15*SQRT(((Q30/P30)^2)+((G15/F15)^2)+((O15/N15)^2))</f>
        <v>0.2127677798468478</v>
      </c>
      <c r="R15">
        <f>(B21*J15)/N15</f>
        <v>5.0502789361691169</v>
      </c>
      <c r="S15">
        <f>R15*SQRT(((D21/B21)^2)+((G15/F15)^2)+((O15/N15)^2))</f>
        <v>0.22450366883971254</v>
      </c>
      <c r="U15">
        <f>L15-H15</f>
        <v>19.670500000000001</v>
      </c>
      <c r="V15">
        <f>SQRT((M15^2)+(I15^2))</f>
        <v>1.4142135623730951E-4</v>
      </c>
      <c r="X15">
        <f>(5*U15)/N15</f>
        <v>4.9475328359935808</v>
      </c>
      <c r="Y15">
        <f>X15*SQRT(((V15/U15)^2)+((O15/N15)^2))</f>
        <v>5.0040852961975582E-5</v>
      </c>
      <c r="Z15">
        <f>X15/5*100</f>
        <v>98.950656719871617</v>
      </c>
      <c r="AA15">
        <f>Z15*SQRT(((Y15/X15)^2))</f>
        <v>1.0008170592395117E-3</v>
      </c>
    </row>
    <row r="20" spans="1:17" x14ac:dyDescent="0.25">
      <c r="A20" t="s">
        <v>81</v>
      </c>
      <c r="B20">
        <f>P30</f>
        <v>993.55343304820451</v>
      </c>
      <c r="D20" s="10" t="s">
        <v>172</v>
      </c>
    </row>
    <row r="21" spans="1:17" x14ac:dyDescent="0.25">
      <c r="A21" t="s">
        <v>82</v>
      </c>
      <c r="B21">
        <v>970</v>
      </c>
      <c r="D21">
        <v>43.100345928173482</v>
      </c>
    </row>
    <row r="29" spans="1:17" x14ac:dyDescent="0.25">
      <c r="B29" t="s">
        <v>86</v>
      </c>
      <c r="C29" t="s">
        <v>167</v>
      </c>
      <c r="D29" t="s">
        <v>87</v>
      </c>
      <c r="E29" t="s">
        <v>168</v>
      </c>
      <c r="F29" t="s">
        <v>88</v>
      </c>
      <c r="G29" t="s">
        <v>169</v>
      </c>
      <c r="H29" t="s">
        <v>83</v>
      </c>
      <c r="I29" t="s">
        <v>160</v>
      </c>
      <c r="J29" t="s">
        <v>89</v>
      </c>
      <c r="K29" t="s">
        <v>150</v>
      </c>
      <c r="N29" t="s">
        <v>90</v>
      </c>
      <c r="O29" t="s">
        <v>170</v>
      </c>
      <c r="P29" t="s">
        <v>91</v>
      </c>
      <c r="Q29" t="s">
        <v>171</v>
      </c>
    </row>
    <row r="30" spans="1:17" x14ac:dyDescent="0.25">
      <c r="A30" t="s">
        <v>85</v>
      </c>
      <c r="B30">
        <v>13.372</v>
      </c>
      <c r="C30">
        <v>1E-4</v>
      </c>
      <c r="D30">
        <v>14.3908</v>
      </c>
      <c r="E30">
        <v>1E-4</v>
      </c>
      <c r="F30">
        <f>D30-B30</f>
        <v>1.0188000000000006</v>
      </c>
      <c r="G30">
        <f t="shared" ref="G30" si="14">SQRT((C30^2)+(E30^2))</f>
        <v>1.4142135623730951E-4</v>
      </c>
      <c r="H30">
        <v>34.010199999999998</v>
      </c>
      <c r="I30">
        <v>1E-4</v>
      </c>
      <c r="J30">
        <f>H30-B30</f>
        <v>20.638199999999998</v>
      </c>
      <c r="K30">
        <f t="shared" ref="K30" si="15">SQRT((C30^2)+(I30^2))</f>
        <v>1.4142135623730951E-4</v>
      </c>
      <c r="N30">
        <v>49.04653688739868</v>
      </c>
      <c r="O30">
        <v>1.9855217285817413</v>
      </c>
      <c r="P30">
        <f>(N30*J30)/F30</f>
        <v>993.55343304820451</v>
      </c>
      <c r="Q30">
        <f>P30*SQRT(((O30/N30)^2)+((G30/F30)^2)+((K30/J30)^2))</f>
        <v>40.221668654006102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"/>
  <sheetViews>
    <sheetView topLeftCell="D1" zoomScale="80" zoomScaleNormal="80" workbookViewId="0">
      <selection activeCell="M2" sqref="M2"/>
    </sheetView>
  </sheetViews>
  <sheetFormatPr defaultRowHeight="15" x14ac:dyDescent="0.25"/>
  <cols>
    <col min="1" max="1" width="6.7109375" bestFit="1" customWidth="1"/>
    <col min="2" max="3" width="7" bestFit="1" customWidth="1"/>
    <col min="4" max="4" width="11.7109375" bestFit="1" customWidth="1"/>
    <col min="5" max="5" width="11.7109375" customWidth="1"/>
    <col min="6" max="6" width="14.5703125" bestFit="1" customWidth="1"/>
    <col min="7" max="7" width="14.5703125" customWidth="1"/>
    <col min="8" max="8" width="11.140625" bestFit="1" customWidth="1"/>
    <col min="9" max="9" width="11.140625" customWidth="1"/>
    <col min="10" max="10" width="14.7109375" bestFit="1" customWidth="1"/>
    <col min="11" max="11" width="14.7109375" customWidth="1"/>
    <col min="12" max="13" width="12" bestFit="1" customWidth="1"/>
    <col min="14" max="15" width="22.7109375" bestFit="1" customWidth="1"/>
    <col min="16" max="16" width="22.7109375" customWidth="1"/>
    <col min="17" max="17" width="20.85546875" bestFit="1" customWidth="1"/>
    <col min="18" max="18" width="20.85546875" customWidth="1"/>
    <col min="19" max="19" width="12.140625" bestFit="1" customWidth="1"/>
    <col min="20" max="20" width="12.140625" customWidth="1"/>
    <col min="21" max="21" width="12.5703125" bestFit="1" customWidth="1"/>
    <col min="22" max="22" width="12.5703125" customWidth="1"/>
    <col min="23" max="23" width="12.7109375" bestFit="1" customWidth="1"/>
    <col min="24" max="24" width="12.7109375" customWidth="1"/>
    <col min="25" max="25" width="12" bestFit="1" customWidth="1"/>
    <col min="26" max="26" width="9.7109375" bestFit="1" customWidth="1"/>
  </cols>
  <sheetData>
    <row r="1" spans="1:26" x14ac:dyDescent="0.25">
      <c r="B1" t="s">
        <v>76</v>
      </c>
      <c r="C1" t="s">
        <v>76</v>
      </c>
      <c r="D1" t="s">
        <v>95</v>
      </c>
      <c r="E1" t="s">
        <v>95</v>
      </c>
      <c r="F1" t="s">
        <v>96</v>
      </c>
      <c r="G1" t="s">
        <v>96</v>
      </c>
      <c r="H1" t="s">
        <v>105</v>
      </c>
      <c r="I1" t="s">
        <v>105</v>
      </c>
      <c r="J1" t="s">
        <v>89</v>
      </c>
      <c r="K1" t="s">
        <v>89</v>
      </c>
      <c r="L1" t="s">
        <v>108</v>
      </c>
      <c r="M1" t="s">
        <v>108</v>
      </c>
      <c r="O1" t="s">
        <v>106</v>
      </c>
      <c r="P1" t="s">
        <v>106</v>
      </c>
      <c r="Q1" t="s">
        <v>107</v>
      </c>
      <c r="R1" t="s">
        <v>107</v>
      </c>
      <c r="S1" t="s">
        <v>109</v>
      </c>
      <c r="T1" t="s">
        <v>109</v>
      </c>
      <c r="U1" t="s">
        <v>110</v>
      </c>
      <c r="V1" t="s">
        <v>110</v>
      </c>
      <c r="W1" t="s">
        <v>111</v>
      </c>
      <c r="X1" t="s">
        <v>111</v>
      </c>
      <c r="Y1" t="s">
        <v>120</v>
      </c>
      <c r="Z1" t="s">
        <v>120</v>
      </c>
    </row>
    <row r="2" spans="1:26" x14ac:dyDescent="0.25">
      <c r="A2" t="s">
        <v>103</v>
      </c>
      <c r="B2">
        <v>6.2663000000000002</v>
      </c>
      <c r="C2">
        <v>1E-4</v>
      </c>
      <c r="D2">
        <v>8.8511000000000006</v>
      </c>
      <c r="E2">
        <v>1E-4</v>
      </c>
      <c r="F2">
        <f>D2-B2</f>
        <v>2.5848000000000004</v>
      </c>
      <c r="G2">
        <f>SQRT((E2^2)+(C2^2))</f>
        <v>1.4142135623730951E-4</v>
      </c>
      <c r="H2">
        <v>26.929300000000001</v>
      </c>
      <c r="I2">
        <v>1E-4</v>
      </c>
      <c r="J2">
        <f>H2-B2</f>
        <v>20.663</v>
      </c>
      <c r="K2">
        <f>SQRT((I2^2)+(C2^2))</f>
        <v>1.4142135623730951E-4</v>
      </c>
      <c r="L2">
        <f>F2/J2</f>
        <v>0.12509316168997728</v>
      </c>
      <c r="M2">
        <f>L2*SQRT(((G2/F2)^2)+((K2/J2)^2))</f>
        <v>6.8975251851680969E-6</v>
      </c>
      <c r="O2">
        <v>24.858000000000001</v>
      </c>
      <c r="P2">
        <v>1E-4</v>
      </c>
      <c r="Q2">
        <v>24.9057</v>
      </c>
      <c r="R2">
        <v>1E-4</v>
      </c>
      <c r="S2">
        <f>Q2-O2</f>
        <v>4.7699999999998965E-2</v>
      </c>
      <c r="T2">
        <f>SQRT((P2^2)+(R2^2))</f>
        <v>1.4142135623730951E-4</v>
      </c>
      <c r="U2">
        <f>(2000*S2)/W2</f>
        <v>5.1181904996940855</v>
      </c>
      <c r="V2">
        <f>U2*SQRT(((T2/S2)^2)+((X2/W2)^2))</f>
        <v>1.5174503398022983E-2</v>
      </c>
      <c r="W2">
        <f>Q2-B2</f>
        <v>18.639399999999998</v>
      </c>
      <c r="X2">
        <f>SQRT((R2^2)+(C2^2))</f>
        <v>1.4142135623730951E-4</v>
      </c>
      <c r="Y2">
        <f>U2/5*100</f>
        <v>102.3638099938817</v>
      </c>
      <c r="Z2">
        <f>Y2*SQRT(((V2/U2)^2))</f>
        <v>0.30349006796045963</v>
      </c>
    </row>
    <row r="3" spans="1:26" x14ac:dyDescent="0.25">
      <c r="Y3">
        <f t="shared" ref="Y3:Y4" si="0">U3/5*100</f>
        <v>0</v>
      </c>
    </row>
    <row r="4" spans="1:26" x14ac:dyDescent="0.25">
      <c r="A4" t="s">
        <v>104</v>
      </c>
      <c r="B4">
        <v>6.3517999999999999</v>
      </c>
      <c r="C4">
        <v>1E-4</v>
      </c>
      <c r="D4">
        <v>8.4223999999999997</v>
      </c>
      <c r="E4">
        <v>1E-4</v>
      </c>
      <c r="F4">
        <f>D4-B4</f>
        <v>2.0705999999999998</v>
      </c>
      <c r="G4">
        <f t="shared" ref="G3:G4" si="1">SQRT((E4^2)+(C4^2))</f>
        <v>1.4142135623730951E-4</v>
      </c>
      <c r="H4">
        <v>26.418500000000002</v>
      </c>
      <c r="I4">
        <v>1E-4</v>
      </c>
      <c r="J4">
        <f>H4-B4</f>
        <v>20.066700000000001</v>
      </c>
      <c r="K4">
        <f t="shared" ref="K3:K4" si="2">SQRT((I4^2)+(C4^2))</f>
        <v>1.4142135623730951E-4</v>
      </c>
      <c r="L4">
        <f>(F4*L2)/J4</f>
        <v>1.2907847358821676E-2</v>
      </c>
      <c r="M4">
        <f>L4*SQRT(((M2/L2)^2)+((G4/F4)^2)+((K4/J4)^2))</f>
        <v>1.1366851559384042E-6</v>
      </c>
      <c r="Q4">
        <v>26.470400000000001</v>
      </c>
      <c r="R4">
        <v>1E-4</v>
      </c>
      <c r="S4">
        <f>Q4-H4</f>
        <v>5.1899999999999835E-2</v>
      </c>
      <c r="T4">
        <f>SQRT((R4^2)+(I4^2))</f>
        <v>1.4142135623730951E-4</v>
      </c>
      <c r="U4">
        <f>(2000*S4)/W4</f>
        <v>5.172748882476923</v>
      </c>
      <c r="V4">
        <f t="shared" ref="V3:V4" si="3">U4*SQRT(((T4/S4)^2)+((X4/W4)^2))</f>
        <v>1.4095175514038025E-2</v>
      </c>
      <c r="W4">
        <f>J4</f>
        <v>20.066700000000001</v>
      </c>
      <c r="X4">
        <f>K4</f>
        <v>1.4142135623730951E-4</v>
      </c>
      <c r="Y4">
        <f t="shared" si="0"/>
        <v>103.45497764953846</v>
      </c>
      <c r="Z4">
        <f t="shared" ref="Z3:Z4" si="4">Y4*SQRT(((V4/U4)^2))</f>
        <v>0.28190351028076055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1"/>
  <sheetViews>
    <sheetView topLeftCell="I1" zoomScale="70" zoomScaleNormal="70" workbookViewId="0">
      <selection activeCell="AG11" sqref="AG11"/>
    </sheetView>
  </sheetViews>
  <sheetFormatPr defaultColWidth="9.140625" defaultRowHeight="15" x14ac:dyDescent="0.25"/>
  <cols>
    <col min="1" max="1" width="11" customWidth="1"/>
    <col min="2" max="2" width="5.85546875" customWidth="1"/>
    <col min="3" max="3" width="14.140625" customWidth="1"/>
    <col min="4" max="4" width="11.7109375" customWidth="1"/>
    <col min="5" max="6" width="9" customWidth="1"/>
    <col min="7" max="7" width="11.140625" customWidth="1"/>
    <col min="8" max="8" width="14.28515625" bestFit="1" customWidth="1"/>
    <col min="9" max="9" width="16.5703125" bestFit="1" customWidth="1"/>
    <col min="10" max="10" width="14.7109375" bestFit="1" customWidth="1"/>
    <col min="11" max="11" width="18.42578125" bestFit="1" customWidth="1"/>
    <col min="12" max="12" width="11.140625" customWidth="1"/>
    <col min="13" max="13" width="18.140625" bestFit="1" customWidth="1"/>
    <col min="14" max="18" width="11.140625" customWidth="1"/>
    <col min="19" max="20" width="12" bestFit="1" customWidth="1"/>
    <col min="21" max="21" width="12" customWidth="1"/>
    <col min="22" max="22" width="12" bestFit="1" customWidth="1"/>
    <col min="23" max="23" width="14.28515625" bestFit="1" customWidth="1"/>
    <col min="24" max="24" width="14.28515625" customWidth="1"/>
    <col min="25" max="25" width="14.7109375" bestFit="1" customWidth="1"/>
    <col min="26" max="26" width="14.7109375" customWidth="1"/>
    <col min="27" max="27" width="12" bestFit="1" customWidth="1"/>
    <col min="28" max="28" width="18.140625" bestFit="1" customWidth="1"/>
    <col min="29" max="31" width="12" customWidth="1"/>
    <col min="32" max="32" width="12" bestFit="1" customWidth="1"/>
    <col min="33" max="33" width="12" customWidth="1"/>
    <col min="34" max="34" width="10.7109375" customWidth="1"/>
    <col min="35" max="35" width="9" customWidth="1"/>
    <col min="36" max="36" width="15.140625" customWidth="1"/>
    <col min="37" max="37" width="10.7109375" customWidth="1"/>
    <col min="38" max="38" width="9" customWidth="1"/>
    <col min="39" max="39" width="15.140625" customWidth="1"/>
    <col min="40" max="40" width="10.7109375" customWidth="1"/>
    <col min="41" max="41" width="9" customWidth="1"/>
    <col min="42" max="42" width="15.28515625" customWidth="1"/>
    <col min="46" max="46" width="9.7109375" bestFit="1" customWidth="1"/>
    <col min="47" max="47" width="12" bestFit="1" customWidth="1"/>
  </cols>
  <sheetData>
    <row r="1" spans="1:49" ht="18" customHeight="1" x14ac:dyDescent="0.25">
      <c r="A1" s="8" t="s">
        <v>116</v>
      </c>
      <c r="B1" s="8"/>
      <c r="C1" s="9"/>
      <c r="D1" s="7" t="s">
        <v>74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9"/>
      <c r="S1" s="7" t="s">
        <v>17</v>
      </c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9"/>
      <c r="AH1" s="7" t="s">
        <v>57</v>
      </c>
      <c r="AI1" s="8"/>
      <c r="AJ1" s="9"/>
      <c r="AK1" s="7" t="s">
        <v>38</v>
      </c>
      <c r="AL1" s="8"/>
      <c r="AM1" s="9"/>
      <c r="AN1" s="7" t="s">
        <v>64</v>
      </c>
      <c r="AO1" s="8"/>
      <c r="AP1" s="9"/>
      <c r="AR1" t="s">
        <v>117</v>
      </c>
      <c r="AS1" t="s">
        <v>180</v>
      </c>
      <c r="AT1" t="s">
        <v>118</v>
      </c>
      <c r="AU1" t="s">
        <v>179</v>
      </c>
      <c r="AV1" t="s">
        <v>119</v>
      </c>
      <c r="AW1" t="s">
        <v>181</v>
      </c>
    </row>
    <row r="2" spans="1:49" ht="18" customHeight="1" x14ac:dyDescent="0.25">
      <c r="A2" s="6" t="s">
        <v>36</v>
      </c>
      <c r="B2" s="6" t="s">
        <v>7</v>
      </c>
      <c r="C2" s="6" t="s">
        <v>59</v>
      </c>
      <c r="D2" s="6" t="s">
        <v>55</v>
      </c>
      <c r="E2" s="6" t="s">
        <v>54</v>
      </c>
      <c r="F2" s="11" t="s">
        <v>173</v>
      </c>
      <c r="G2" s="6" t="s">
        <v>68</v>
      </c>
      <c r="H2" s="6" t="s">
        <v>121</v>
      </c>
      <c r="I2" s="11" t="s">
        <v>174</v>
      </c>
      <c r="J2" s="6" t="s">
        <v>122</v>
      </c>
      <c r="K2" s="11" t="s">
        <v>175</v>
      </c>
      <c r="L2" s="6" t="s">
        <v>176</v>
      </c>
      <c r="M2" s="11" t="s">
        <v>177</v>
      </c>
      <c r="N2" s="6"/>
      <c r="O2" s="6"/>
      <c r="P2" s="6"/>
      <c r="Q2" s="6" t="s">
        <v>123</v>
      </c>
      <c r="R2" s="6" t="s">
        <v>178</v>
      </c>
      <c r="S2" s="6" t="s">
        <v>55</v>
      </c>
      <c r="T2" s="6" t="s">
        <v>54</v>
      </c>
      <c r="U2" s="11" t="s">
        <v>173</v>
      </c>
      <c r="V2" s="6" t="s">
        <v>68</v>
      </c>
      <c r="W2" s="6" t="s">
        <v>121</v>
      </c>
      <c r="X2" s="11" t="s">
        <v>174</v>
      </c>
      <c r="Y2" s="6" t="s">
        <v>122</v>
      </c>
      <c r="Z2" s="11" t="s">
        <v>175</v>
      </c>
      <c r="AA2" s="6" t="s">
        <v>182</v>
      </c>
      <c r="AB2" s="11" t="s">
        <v>177</v>
      </c>
      <c r="AC2" s="6"/>
      <c r="AD2" s="6"/>
      <c r="AE2" s="6"/>
      <c r="AF2" s="6" t="s">
        <v>123</v>
      </c>
      <c r="AG2" s="6" t="s">
        <v>178</v>
      </c>
      <c r="AH2" s="6" t="s">
        <v>55</v>
      </c>
      <c r="AI2" s="6" t="s">
        <v>54</v>
      </c>
      <c r="AJ2" s="6" t="s">
        <v>53</v>
      </c>
      <c r="AK2" s="6" t="s">
        <v>55</v>
      </c>
      <c r="AL2" s="6" t="s">
        <v>54</v>
      </c>
      <c r="AM2" s="6" t="s">
        <v>53</v>
      </c>
      <c r="AN2" s="6" t="s">
        <v>55</v>
      </c>
      <c r="AO2" s="6" t="s">
        <v>54</v>
      </c>
      <c r="AP2" s="6" t="s">
        <v>53</v>
      </c>
    </row>
    <row r="3" spans="1:49" x14ac:dyDescent="0.25">
      <c r="A3" s="4" t="s">
        <v>21</v>
      </c>
      <c r="B3" s="5" t="s">
        <v>46</v>
      </c>
      <c r="C3" s="1" t="s">
        <v>60</v>
      </c>
      <c r="D3" s="3">
        <v>4.0039999999999996</v>
      </c>
      <c r="E3" s="3">
        <v>174.80147469502501</v>
      </c>
      <c r="F3" s="12">
        <f>D3*(E3/100)</f>
        <v>6.9990510467888001</v>
      </c>
      <c r="G3" s="3"/>
      <c r="H3" s="3">
        <f>D3-D$3</f>
        <v>0</v>
      </c>
      <c r="I3" s="12">
        <f t="shared" ref="I3:I11" si="0">SQRT((F3^2)+(F$3^2))</f>
        <v>9.8981529141103284</v>
      </c>
      <c r="J3" s="3">
        <f>H3*AV3</f>
        <v>0</v>
      </c>
      <c r="K3" s="3" t="e">
        <f>J3*SQRT(((I3/H3)^2)+((AW3/AV3)^2))</f>
        <v>#DIV/0!</v>
      </c>
      <c r="L3" s="3">
        <v>0</v>
      </c>
      <c r="M3" s="3" t="e">
        <v>#DIV/0!</v>
      </c>
      <c r="N3" s="3"/>
      <c r="O3" s="3">
        <v>104917</v>
      </c>
      <c r="P3" s="13">
        <f>O3*SQRT(((M4/L4)^2)+((M5/L5)^2)+((M6/L6)^2)+((M7/L7)^2)+((M8/L8)^2)+((M9/L9)^2))</f>
        <v>11424.518050712302</v>
      </c>
      <c r="Q3" s="3">
        <f>J3/O$3</f>
        <v>0</v>
      </c>
      <c r="R3" s="3" t="e">
        <f>Q3*SQRT(((P$3/O$3)^2)+((K3/J3)^2))</f>
        <v>#DIV/0!</v>
      </c>
      <c r="S3" s="5">
        <v>3138.9540000000002</v>
      </c>
      <c r="T3" s="5">
        <v>6.3179247049273499</v>
      </c>
      <c r="U3" s="5">
        <f>S3*(T3/100)</f>
        <v>198.31675024230526</v>
      </c>
      <c r="V3" s="5"/>
      <c r="W3" s="5">
        <f>S3-S$3</f>
        <v>0</v>
      </c>
      <c r="X3" s="5">
        <f t="shared" ref="X3:X11" si="1">SQRT((U3^2)+(U$3^2))</f>
        <v>280.46223783842589</v>
      </c>
      <c r="Y3" s="5">
        <f>W3*AV3</f>
        <v>0</v>
      </c>
      <c r="Z3" s="5" t="e">
        <f>Y3*SQRT(((X3/W3)^2)+((AW3/AV3)^2))</f>
        <v>#DIV/0!</v>
      </c>
      <c r="AA3" s="5">
        <v>0</v>
      </c>
      <c r="AB3" s="5" t="e">
        <v>#DIV/0!</v>
      </c>
      <c r="AC3" s="5"/>
      <c r="AD3" s="5">
        <v>99616</v>
      </c>
      <c r="AE3" s="5">
        <f>AD3*SQRT(((AB4/AA4)^2)+((AB5/AA5)^2)+((AB6/AA6)^2)+((AB7/AA7)^2)+((AB8/AA8)^2)+((AB9/AA9)^2))</f>
        <v>9883.7871448593105</v>
      </c>
      <c r="AF3" s="5">
        <f>Y3/AD$3</f>
        <v>0</v>
      </c>
      <c r="AG3" s="5" t="e">
        <f>AF3*SQRT(((AE$3/AD$3)^2)+((Z3/Y3)^2))</f>
        <v>#DIV/0!</v>
      </c>
      <c r="AH3" s="3">
        <v>875317.26699999999</v>
      </c>
      <c r="AI3" s="3">
        <v>0.62609156883411599</v>
      </c>
      <c r="AJ3" s="3">
        <v>100</v>
      </c>
      <c r="AK3" s="5">
        <v>286372.26899999997</v>
      </c>
      <c r="AL3" s="5">
        <v>0.85111971919153495</v>
      </c>
      <c r="AM3" s="5">
        <v>100</v>
      </c>
      <c r="AN3" s="3">
        <v>485392.46</v>
      </c>
      <c r="AO3" s="3">
        <v>0.81777483665765505</v>
      </c>
      <c r="AP3" s="3">
        <v>100</v>
      </c>
      <c r="AR3">
        <f>AVERAGE(AJ3,AM3,AP3)</f>
        <v>100</v>
      </c>
      <c r="AS3">
        <f>STDEV(AJ3,AM3,AP3)</f>
        <v>0</v>
      </c>
      <c r="AT3">
        <v>100</v>
      </c>
      <c r="AU3">
        <v>0</v>
      </c>
      <c r="AV3">
        <f>AT3/AR3</f>
        <v>1</v>
      </c>
      <c r="AW3">
        <f>AV3*SQRT(((AS3/AR3)^2)+((AU3/AT3)^2))</f>
        <v>0</v>
      </c>
    </row>
    <row r="4" spans="1:49" x14ac:dyDescent="0.25">
      <c r="A4" s="4" t="s">
        <v>42</v>
      </c>
      <c r="B4" s="5" t="s">
        <v>5</v>
      </c>
      <c r="C4" s="1" t="s">
        <v>12</v>
      </c>
      <c r="D4" s="3">
        <v>11991.459000000001</v>
      </c>
      <c r="E4" s="3">
        <v>4.5761816507211099</v>
      </c>
      <c r="F4" s="12">
        <f t="shared" ref="F4:F11" si="2">D4*(E4/100)</f>
        <v>548.75094641174508</v>
      </c>
      <c r="G4" s="3">
        <v>0.1</v>
      </c>
      <c r="H4" s="3">
        <f t="shared" ref="H4:H11" si="3">D4-D$3</f>
        <v>11987.455</v>
      </c>
      <c r="I4" s="12">
        <f t="shared" si="0"/>
        <v>548.79557934019613</v>
      </c>
      <c r="J4" s="3">
        <f t="shared" ref="J4:J11" si="4">H4*AV4</f>
        <v>11959.323207561773</v>
      </c>
      <c r="K4" s="3">
        <f t="shared" ref="K4:K11" si="5">J4*SQRT(((I4/H4)^2)+((AW4/AV4)^2))</f>
        <v>549.62819895721736</v>
      </c>
      <c r="L4" s="3">
        <v>9.9195566615941852E-2</v>
      </c>
      <c r="M4" s="3">
        <v>4.4097638605524398E-3</v>
      </c>
      <c r="N4" s="3"/>
      <c r="O4" s="3"/>
      <c r="P4" s="3"/>
      <c r="Q4" s="3">
        <f t="shared" ref="Q4:Q10" si="6">J4/O$3</f>
        <v>0.11398842139559626</v>
      </c>
      <c r="R4" s="3">
        <f t="shared" ref="R4:R11" si="7">Q4*SQRT(((P$3/O$3)^2)+((K4/J4)^2))</f>
        <v>1.3472545222197459E-2</v>
      </c>
      <c r="S4" s="5">
        <v>14343.311</v>
      </c>
      <c r="T4" s="5">
        <v>3.0896191797969701</v>
      </c>
      <c r="U4" s="5">
        <f t="shared" ref="U4:U11" si="8">S4*(T4/100)</f>
        <v>443.15368767392857</v>
      </c>
      <c r="V4" s="5">
        <v>0.1</v>
      </c>
      <c r="W4" s="5">
        <f t="shared" ref="W4:W11" si="9">S4-S$3</f>
        <v>11204.357</v>
      </c>
      <c r="X4" s="5">
        <f t="shared" si="1"/>
        <v>485.50460793453931</v>
      </c>
      <c r="Y4" s="5">
        <f t="shared" ref="Y4:Y11" si="10">W4*AV4</f>
        <v>11178.062957976252</v>
      </c>
      <c r="Z4" s="5">
        <f t="shared" ref="Z4:Z11" si="11">Y4*SQRT(((X4/W4)^2)+((AW4/AV4)^2))</f>
        <v>486.45878130579905</v>
      </c>
      <c r="AA4" s="5">
        <v>0.10317491572081039</v>
      </c>
      <c r="AB4" s="5">
        <v>4.1792737498293096E-3</v>
      </c>
      <c r="AC4" s="5"/>
      <c r="AD4" s="5"/>
      <c r="AE4" s="5"/>
      <c r="AF4" s="5">
        <f t="shared" ref="AF4:AF11" si="12">Y4/AD$3</f>
        <v>0.112211521823565</v>
      </c>
      <c r="AG4" s="5">
        <f t="shared" ref="AG4:AG11" si="13">AF4*SQRT(((AE$3/AD$3)^2)+((Z4/Y4)^2))</f>
        <v>1.2157378164625433E-2</v>
      </c>
      <c r="AH4" s="3">
        <v>881193.96100000001</v>
      </c>
      <c r="AI4" s="3">
        <v>1.00774078336513</v>
      </c>
      <c r="AJ4" s="3">
        <v>100.67137873563701</v>
      </c>
      <c r="AK4" s="5">
        <v>286560.08799999999</v>
      </c>
      <c r="AL4" s="5">
        <v>0.95004066955463695</v>
      </c>
      <c r="AM4" s="5">
        <v>100.065585610177</v>
      </c>
      <c r="AN4" s="3">
        <v>484952.82299999997</v>
      </c>
      <c r="AO4" s="3">
        <v>0.74026389405812698</v>
      </c>
      <c r="AP4" s="3">
        <v>99.909426487589002</v>
      </c>
      <c r="AR4">
        <f t="shared" ref="AR4:AR11" si="14">AVERAGE(AJ4,AM4,AP4)</f>
        <v>100.21546361113433</v>
      </c>
      <c r="AS4">
        <f t="shared" ref="AS4:AS11" si="15">STDEV(AJ4,AM4,AP4)</f>
        <v>0.40248027088862126</v>
      </c>
      <c r="AT4">
        <v>99.980281028892378</v>
      </c>
      <c r="AU4">
        <v>3.6985406543827697E-2</v>
      </c>
      <c r="AV4">
        <f t="shared" ref="AV4:AV11" si="16">AT4/AR4</f>
        <v>0.99765323061164968</v>
      </c>
      <c r="AW4">
        <f t="shared" ref="AW4:AW11" si="17">AV4*SQRT(((AS4/AR4)^2)+((AU4/AT4)^2))</f>
        <v>4.0236854759067367E-3</v>
      </c>
    </row>
    <row r="5" spans="1:49" x14ac:dyDescent="0.25">
      <c r="A5" s="4" t="s">
        <v>42</v>
      </c>
      <c r="B5" s="5" t="s">
        <v>31</v>
      </c>
      <c r="C5" s="1" t="s">
        <v>47</v>
      </c>
      <c r="D5" s="3">
        <v>121593.306</v>
      </c>
      <c r="E5" s="3">
        <v>1.9985415510072999</v>
      </c>
      <c r="F5" s="12">
        <f t="shared" si="2"/>
        <v>2430.0927436534525</v>
      </c>
      <c r="G5" s="3">
        <v>1.0001396513777101</v>
      </c>
      <c r="H5" s="3">
        <f t="shared" si="3"/>
        <v>121589.302</v>
      </c>
      <c r="I5" s="12">
        <f t="shared" si="0"/>
        <v>2430.1028228189689</v>
      </c>
      <c r="J5" s="3">
        <f t="shared" si="4"/>
        <v>121784.77595040771</v>
      </c>
      <c r="K5" s="3">
        <f t="shared" si="5"/>
        <v>2441.8807099578144</v>
      </c>
      <c r="L5" s="3">
        <v>0.99942432384003244</v>
      </c>
      <c r="M5" s="3">
        <v>4.442960395553186E-2</v>
      </c>
      <c r="N5" s="3"/>
      <c r="O5" s="3"/>
      <c r="P5" s="3"/>
      <c r="Q5" s="3">
        <f t="shared" si="6"/>
        <v>1.1607725721323303</v>
      </c>
      <c r="R5" s="3">
        <f t="shared" si="7"/>
        <v>0.12852266641509996</v>
      </c>
      <c r="S5" s="5">
        <v>121210.594</v>
      </c>
      <c r="T5" s="5">
        <v>1.6491784984865601</v>
      </c>
      <c r="U5" s="5">
        <f t="shared" si="8"/>
        <v>1998.9790541358404</v>
      </c>
      <c r="V5" s="5">
        <v>1.0005057441918499</v>
      </c>
      <c r="W5" s="5">
        <f t="shared" si="9"/>
        <v>118071.64</v>
      </c>
      <c r="X5" s="5">
        <f t="shared" si="1"/>
        <v>2008.7923716254222</v>
      </c>
      <c r="Y5" s="5">
        <f t="shared" si="10"/>
        <v>118261.45875479405</v>
      </c>
      <c r="Z5" s="5">
        <f t="shared" si="11"/>
        <v>2020.9952941474548</v>
      </c>
      <c r="AA5" s="5">
        <v>1.0395174290475944</v>
      </c>
      <c r="AB5" s="5">
        <v>4.2107340845938486E-2</v>
      </c>
      <c r="AC5" s="5"/>
      <c r="AD5" s="5"/>
      <c r="AE5" s="5"/>
      <c r="AF5" s="5">
        <f t="shared" si="12"/>
        <v>1.1871733331472258</v>
      </c>
      <c r="AG5" s="5">
        <f t="shared" si="13"/>
        <v>0.11952439513472818</v>
      </c>
      <c r="AH5" s="3">
        <v>873146.92299999995</v>
      </c>
      <c r="AI5" s="3">
        <v>0.90425441056573796</v>
      </c>
      <c r="AJ5" s="3">
        <v>99.752050589903405</v>
      </c>
      <c r="AK5" s="5">
        <v>285538.266</v>
      </c>
      <c r="AL5" s="5">
        <v>1.0484666726751699</v>
      </c>
      <c r="AM5" s="5">
        <v>99.708769636490203</v>
      </c>
      <c r="AN5" s="3">
        <v>482783.913</v>
      </c>
      <c r="AO5" s="3">
        <v>1.3341114795390501</v>
      </c>
      <c r="AP5" s="3">
        <v>99.462590127584605</v>
      </c>
      <c r="AR5">
        <f t="shared" si="14"/>
        <v>99.641136784659395</v>
      </c>
      <c r="AS5">
        <f t="shared" si="15"/>
        <v>0.15613292989157818</v>
      </c>
      <c r="AT5">
        <v>99.801325603165921</v>
      </c>
      <c r="AU5">
        <v>3.6301006111867998E-2</v>
      </c>
      <c r="AV5">
        <f t="shared" si="16"/>
        <v>1.0016076574763766</v>
      </c>
      <c r="AW5">
        <f t="shared" si="17"/>
        <v>1.6112009297468276E-3</v>
      </c>
    </row>
    <row r="6" spans="1:49" x14ac:dyDescent="0.25">
      <c r="A6" s="4" t="s">
        <v>42</v>
      </c>
      <c r="B6" s="5" t="s">
        <v>66</v>
      </c>
      <c r="C6" s="1" t="s">
        <v>10</v>
      </c>
      <c r="D6" s="3">
        <v>593067.348</v>
      </c>
      <c r="E6" s="3">
        <v>1.0877728096517001</v>
      </c>
      <c r="F6" s="12">
        <f t="shared" si="2"/>
        <v>6451.2253544664254</v>
      </c>
      <c r="G6" s="3">
        <v>4.9951600540832404</v>
      </c>
      <c r="H6" s="3">
        <f t="shared" si="3"/>
        <v>593063.34400000004</v>
      </c>
      <c r="I6" s="12">
        <f t="shared" si="0"/>
        <v>6451.2291511638314</v>
      </c>
      <c r="J6" s="3">
        <f t="shared" si="4"/>
        <v>585786.12536180962</v>
      </c>
      <c r="K6" s="3">
        <f t="shared" si="5"/>
        <v>6522.9750162091896</v>
      </c>
      <c r="L6" s="3">
        <v>4.9079434140205498</v>
      </c>
      <c r="M6" s="3">
        <v>0.21817714587379702</v>
      </c>
      <c r="N6" s="3"/>
      <c r="O6" s="3"/>
      <c r="P6" s="3"/>
      <c r="Q6" s="3">
        <f t="shared" si="6"/>
        <v>5.5833289682492788</v>
      </c>
      <c r="R6" s="3">
        <f t="shared" si="7"/>
        <v>0.61114501588558912</v>
      </c>
      <c r="S6" s="5">
        <v>577634.40599999996</v>
      </c>
      <c r="T6" s="5">
        <v>1.4218417574583799</v>
      </c>
      <c r="U6" s="5">
        <f t="shared" si="8"/>
        <v>8213.0471899546737</v>
      </c>
      <c r="V6" s="5">
        <v>4.9947454179536397</v>
      </c>
      <c r="W6" s="5">
        <f t="shared" si="9"/>
        <v>574495.45199999993</v>
      </c>
      <c r="X6" s="5">
        <f t="shared" si="1"/>
        <v>8215.4411736588463</v>
      </c>
      <c r="Y6" s="5">
        <f t="shared" si="10"/>
        <v>567446.07177249761</v>
      </c>
      <c r="Z6" s="5">
        <f t="shared" si="11"/>
        <v>8226.376453777104</v>
      </c>
      <c r="AA6" s="5">
        <v>5.1048314494197982</v>
      </c>
      <c r="AB6" s="5">
        <v>0.20677213364103406</v>
      </c>
      <c r="AC6" s="5"/>
      <c r="AD6" s="5"/>
      <c r="AE6" s="5"/>
      <c r="AF6" s="5">
        <f t="shared" si="12"/>
        <v>5.6963346427531478</v>
      </c>
      <c r="AG6" s="5">
        <f t="shared" si="13"/>
        <v>0.57118511772922254</v>
      </c>
      <c r="AH6" s="3">
        <v>879231.66399999999</v>
      </c>
      <c r="AI6" s="3">
        <v>0.27730753958057303</v>
      </c>
      <c r="AJ6" s="3">
        <v>100.447197507415</v>
      </c>
      <c r="AK6" s="5">
        <v>287313.02500000002</v>
      </c>
      <c r="AL6" s="5">
        <v>1.0793449042958601</v>
      </c>
      <c r="AM6" s="5">
        <v>100.32850806514401</v>
      </c>
      <c r="AN6" s="3">
        <v>485333.72200000001</v>
      </c>
      <c r="AO6" s="3">
        <v>0.90816963297124298</v>
      </c>
      <c r="AP6" s="3">
        <v>99.987898864353994</v>
      </c>
      <c r="AR6">
        <f t="shared" si="14"/>
        <v>100.25453481230433</v>
      </c>
      <c r="AS6">
        <f t="shared" si="15"/>
        <v>0.23841737034281213</v>
      </c>
      <c r="AT6">
        <v>99.024355647329315</v>
      </c>
      <c r="AU6">
        <v>1.2302117463841144E-2</v>
      </c>
      <c r="AV6">
        <f t="shared" si="16"/>
        <v>0.98772944119407524</v>
      </c>
      <c r="AW6">
        <f t="shared" si="17"/>
        <v>2.3521426676146287E-3</v>
      </c>
    </row>
    <row r="7" spans="1:49" x14ac:dyDescent="0.25">
      <c r="A7" s="4" t="s">
        <v>42</v>
      </c>
      <c r="B7" s="5" t="s">
        <v>70</v>
      </c>
      <c r="C7" s="1" t="s">
        <v>73</v>
      </c>
      <c r="D7" s="3">
        <v>1202570.6499999999</v>
      </c>
      <c r="E7" s="3">
        <v>0.77349265665743905</v>
      </c>
      <c r="F7" s="12">
        <f t="shared" si="2"/>
        <v>9301.7956688676313</v>
      </c>
      <c r="G7" s="3">
        <v>10.026314463906701</v>
      </c>
      <c r="H7" s="3">
        <f t="shared" si="3"/>
        <v>1202566.6459999999</v>
      </c>
      <c r="I7" s="12">
        <f t="shared" si="0"/>
        <v>9301.7983020532211</v>
      </c>
      <c r="J7" s="3">
        <f t="shared" si="4"/>
        <v>1188658.8341739832</v>
      </c>
      <c r="K7" s="3">
        <f t="shared" si="5"/>
        <v>10977.65941620462</v>
      </c>
      <c r="L7" s="3">
        <v>10.064352329639064</v>
      </c>
      <c r="M7" s="3">
        <v>0.44741219654598452</v>
      </c>
      <c r="N7" s="3"/>
      <c r="O7" s="3"/>
      <c r="P7" s="3"/>
      <c r="Q7" s="3">
        <f t="shared" si="6"/>
        <v>11.329516038144277</v>
      </c>
      <c r="R7" s="3">
        <f t="shared" si="7"/>
        <v>1.2381115395162396</v>
      </c>
      <c r="S7" s="5">
        <v>1169517.0160000001</v>
      </c>
      <c r="T7" s="5">
        <v>1.3209047329885999</v>
      </c>
      <c r="U7" s="5">
        <f t="shared" si="8"/>
        <v>15448.205617451042</v>
      </c>
      <c r="V7" s="5">
        <v>10.028712870426499</v>
      </c>
      <c r="W7" s="5">
        <f t="shared" si="9"/>
        <v>1166378.0620000002</v>
      </c>
      <c r="X7" s="5">
        <f t="shared" si="1"/>
        <v>15449.478513285572</v>
      </c>
      <c r="Y7" s="5">
        <f t="shared" si="10"/>
        <v>1152888.7750168236</v>
      </c>
      <c r="Z7" s="5">
        <f t="shared" si="11"/>
        <v>16341.362141973525</v>
      </c>
      <c r="AA7" s="5">
        <v>10.468095891980834</v>
      </c>
      <c r="AB7" s="5">
        <v>0.42402658118096587</v>
      </c>
      <c r="AC7" s="5"/>
      <c r="AD7" s="5"/>
      <c r="AE7" s="5"/>
      <c r="AF7" s="5">
        <f t="shared" si="12"/>
        <v>11.573329334813922</v>
      </c>
      <c r="AG7" s="5">
        <f t="shared" si="13"/>
        <v>1.1599510191857212</v>
      </c>
      <c r="AH7" s="3">
        <v>870018.89099999995</v>
      </c>
      <c r="AI7" s="3">
        <v>0.66035705075921902</v>
      </c>
      <c r="AJ7" s="3">
        <v>99.3946907938696</v>
      </c>
      <c r="AK7" s="5">
        <v>284859.30800000002</v>
      </c>
      <c r="AL7" s="5">
        <v>1.0699711529903799</v>
      </c>
      <c r="AM7" s="5">
        <v>99.471680339271998</v>
      </c>
      <c r="AN7" s="3">
        <v>478458.565</v>
      </c>
      <c r="AO7" s="3">
        <v>0.73150921389793899</v>
      </c>
      <c r="AP7" s="3">
        <v>98.571486874765199</v>
      </c>
      <c r="AR7">
        <f t="shared" si="14"/>
        <v>99.145952669302275</v>
      </c>
      <c r="AS7">
        <f t="shared" si="15"/>
        <v>0.49898903729956279</v>
      </c>
      <c r="AT7">
        <v>97.999319127101231</v>
      </c>
      <c r="AU7">
        <v>3.5608592226182206E-2</v>
      </c>
      <c r="AV7">
        <f t="shared" si="16"/>
        <v>0.98843489309114207</v>
      </c>
      <c r="AW7">
        <f t="shared" si="17"/>
        <v>4.9876157163210059E-3</v>
      </c>
    </row>
    <row r="8" spans="1:49" x14ac:dyDescent="0.25">
      <c r="A8" s="4" t="s">
        <v>42</v>
      </c>
      <c r="B8" s="5" t="s">
        <v>69</v>
      </c>
      <c r="C8" s="1" t="s">
        <v>8</v>
      </c>
      <c r="D8" s="3">
        <v>2378230.31</v>
      </c>
      <c r="E8" s="3">
        <v>0.78687388458888097</v>
      </c>
      <c r="F8" s="12">
        <f t="shared" si="2"/>
        <v>18713.67322476719</v>
      </c>
      <c r="G8" s="3">
        <v>19.958596071674499</v>
      </c>
      <c r="H8" s="3">
        <f t="shared" si="3"/>
        <v>2378226.3059999999</v>
      </c>
      <c r="I8" s="12">
        <f t="shared" si="0"/>
        <v>18713.674533615358</v>
      </c>
      <c r="J8" s="3">
        <f t="shared" si="4"/>
        <v>2339536.4081785069</v>
      </c>
      <c r="K8" s="3">
        <f t="shared" si="5"/>
        <v>22783.656865614375</v>
      </c>
      <c r="L8" s="3">
        <v>20.283765432935454</v>
      </c>
      <c r="M8" s="3">
        <v>0.90169679061995667</v>
      </c>
      <c r="N8" s="3"/>
      <c r="O8" s="3"/>
      <c r="P8" s="3"/>
      <c r="Q8" s="3">
        <f t="shared" si="6"/>
        <v>22.298925895503178</v>
      </c>
      <c r="R8" s="3">
        <f t="shared" si="7"/>
        <v>2.4378438822653261</v>
      </c>
      <c r="S8" s="5">
        <v>2323460.2310000001</v>
      </c>
      <c r="T8" s="5">
        <v>0.52588583495990904</v>
      </c>
      <c r="U8" s="5">
        <f t="shared" si="8"/>
        <v>12218.748235755782</v>
      </c>
      <c r="V8" s="5">
        <v>19.988121639020399</v>
      </c>
      <c r="W8" s="5">
        <f t="shared" si="9"/>
        <v>2320321.2770000002</v>
      </c>
      <c r="X8" s="5">
        <f t="shared" si="1"/>
        <v>12220.357522683684</v>
      </c>
      <c r="Y8" s="5">
        <f t="shared" si="10"/>
        <v>2282573.4004023531</v>
      </c>
      <c r="Z8" s="5">
        <f t="shared" si="11"/>
        <v>17777.651936508271</v>
      </c>
      <c r="AA8" s="5">
        <v>21.097473006494926</v>
      </c>
      <c r="AB8" s="5">
        <v>0.85456230874232242</v>
      </c>
      <c r="AC8" s="5"/>
      <c r="AD8" s="5"/>
      <c r="AE8" s="5"/>
      <c r="AF8" s="5">
        <f t="shared" si="12"/>
        <v>22.913722699188416</v>
      </c>
      <c r="AG8" s="5">
        <f t="shared" si="13"/>
        <v>2.2804673563419344</v>
      </c>
      <c r="AH8" s="3">
        <v>859120.92500000005</v>
      </c>
      <c r="AI8" s="3">
        <v>0.71321259817893301</v>
      </c>
      <c r="AJ8" s="3">
        <v>98.149660401935193</v>
      </c>
      <c r="AK8" s="5">
        <v>279143.38400000002</v>
      </c>
      <c r="AL8" s="5">
        <v>1.0251793086229499</v>
      </c>
      <c r="AM8" s="5">
        <v>97.475703557036795</v>
      </c>
      <c r="AN8" s="3">
        <v>471021.24200000003</v>
      </c>
      <c r="AO8" s="3">
        <v>0.90041072995726001</v>
      </c>
      <c r="AP8" s="3">
        <v>97.039258088186997</v>
      </c>
      <c r="AR8">
        <f t="shared" si="14"/>
        <v>97.554874015719676</v>
      </c>
      <c r="AS8">
        <f t="shared" si="15"/>
        <v>0.55941871236166063</v>
      </c>
      <c r="AT8">
        <v>95.967813903679684</v>
      </c>
      <c r="AU8">
        <v>1.8816701513324416E-2</v>
      </c>
      <c r="AV8">
        <f t="shared" si="16"/>
        <v>0.98373161640509876</v>
      </c>
      <c r="AW8">
        <f t="shared" si="17"/>
        <v>5.644407622405638E-3</v>
      </c>
    </row>
    <row r="9" spans="1:49" x14ac:dyDescent="0.25">
      <c r="A9" s="4" t="s">
        <v>42</v>
      </c>
      <c r="B9" s="5" t="s">
        <v>67</v>
      </c>
      <c r="C9" s="1" t="s">
        <v>72</v>
      </c>
      <c r="D9" s="3">
        <v>5523939.6210000003</v>
      </c>
      <c r="E9" s="3">
        <v>0.49915911983067301</v>
      </c>
      <c r="F9" s="12">
        <f t="shared" si="2"/>
        <v>27573.248392161418</v>
      </c>
      <c r="G9" s="3">
        <v>49.326390436585001</v>
      </c>
      <c r="H9" s="3">
        <f t="shared" si="3"/>
        <v>5523935.6170000006</v>
      </c>
      <c r="I9" s="12">
        <f t="shared" si="0"/>
        <v>27573.2492804629</v>
      </c>
      <c r="J9" s="3">
        <f t="shared" si="4"/>
        <v>5136789.1964063616</v>
      </c>
      <c r="K9" s="3">
        <f t="shared" si="5"/>
        <v>86132.053218202869</v>
      </c>
      <c r="L9" s="3">
        <v>50.100205944390503</v>
      </c>
      <c r="M9" s="3">
        <v>2.2271458898016414</v>
      </c>
      <c r="N9" s="3"/>
      <c r="O9" s="3"/>
      <c r="P9" s="3"/>
      <c r="Q9" s="3">
        <f t="shared" si="6"/>
        <v>48.960503983209222</v>
      </c>
      <c r="R9" s="3">
        <f t="shared" si="7"/>
        <v>5.3941960930304225</v>
      </c>
      <c r="S9" s="5">
        <v>5476291.0039999997</v>
      </c>
      <c r="T9" s="5">
        <v>0.51690445837687304</v>
      </c>
      <c r="U9" s="5">
        <f t="shared" si="8"/>
        <v>28307.192353367624</v>
      </c>
      <c r="V9" s="5">
        <v>49.479680519319103</v>
      </c>
      <c r="W9" s="5">
        <f t="shared" si="9"/>
        <v>5473152.0499999998</v>
      </c>
      <c r="X9" s="5">
        <f t="shared" si="1"/>
        <v>28307.887036371703</v>
      </c>
      <c r="Y9" s="5">
        <f t="shared" si="10"/>
        <v>5089564.808504777</v>
      </c>
      <c r="Z9" s="5">
        <f t="shared" si="11"/>
        <v>85618.2449253511</v>
      </c>
      <c r="AA9" s="5">
        <v>52.110035783363358</v>
      </c>
      <c r="AB9" s="5">
        <v>2.1107233099194698</v>
      </c>
      <c r="AC9" s="5"/>
      <c r="AD9" s="5"/>
      <c r="AE9" s="5"/>
      <c r="AF9" s="5">
        <f t="shared" si="12"/>
        <v>51.091840753541369</v>
      </c>
      <c r="AG9" s="5">
        <f t="shared" si="13"/>
        <v>5.1416201559586838</v>
      </c>
      <c r="AH9" s="3">
        <v>862732.505</v>
      </c>
      <c r="AI9" s="3">
        <v>0.59922970944671805</v>
      </c>
      <c r="AJ9" s="3">
        <v>98.562262796079395</v>
      </c>
      <c r="AK9" s="5">
        <v>275883.98599999998</v>
      </c>
      <c r="AL9" s="5">
        <v>0.770695345039623</v>
      </c>
      <c r="AM9" s="5">
        <v>96.337535391738598</v>
      </c>
      <c r="AN9" s="3">
        <v>463940.55099999998</v>
      </c>
      <c r="AO9" s="3">
        <v>0.57378857616617296</v>
      </c>
      <c r="AP9" s="3">
        <v>95.580502218761296</v>
      </c>
      <c r="AR9">
        <f t="shared" si="14"/>
        <v>96.826766802193106</v>
      </c>
      <c r="AS9">
        <f t="shared" si="15"/>
        <v>1.549914373390854</v>
      </c>
      <c r="AT9">
        <v>90.040638435714698</v>
      </c>
      <c r="AU9">
        <v>1.0016803632862899E-2</v>
      </c>
      <c r="AV9">
        <f t="shared" si="16"/>
        <v>0.92991474784713457</v>
      </c>
      <c r="AW9">
        <f t="shared" si="17"/>
        <v>1.4885584727964472E-2</v>
      </c>
    </row>
    <row r="10" spans="1:49" x14ac:dyDescent="0.25">
      <c r="A10" s="4" t="s">
        <v>6</v>
      </c>
      <c r="B10" s="5" t="s">
        <v>63</v>
      </c>
      <c r="C10" s="1" t="s">
        <v>20</v>
      </c>
      <c r="D10" s="3">
        <v>92749.771999999997</v>
      </c>
      <c r="E10" s="3">
        <v>1.35938206275358</v>
      </c>
      <c r="F10" s="12">
        <f t="shared" si="2"/>
        <v>1260.8237638128423</v>
      </c>
      <c r="G10" s="3">
        <v>0.82818017458963</v>
      </c>
      <c r="H10" s="3">
        <f t="shared" si="3"/>
        <v>92745.767999999996</v>
      </c>
      <c r="I10" s="12">
        <f t="shared" si="0"/>
        <v>1260.8431901353704</v>
      </c>
      <c r="J10" s="3">
        <f t="shared" si="4"/>
        <v>99797.580755903327</v>
      </c>
      <c r="K10" s="3">
        <f t="shared" si="5"/>
        <v>1477.6203842101454</v>
      </c>
      <c r="L10" s="3"/>
      <c r="M10" s="3"/>
      <c r="N10" s="3"/>
      <c r="O10" s="3"/>
      <c r="P10" s="3"/>
      <c r="Q10" s="3">
        <f t="shared" si="6"/>
        <v>0.95120505500446384</v>
      </c>
      <c r="R10" s="3">
        <f t="shared" si="7"/>
        <v>0.10453079145856871</v>
      </c>
      <c r="S10" s="5">
        <v>26673.881000000001</v>
      </c>
      <c r="T10" s="5">
        <v>1.99821281660023</v>
      </c>
      <c r="U10" s="5">
        <f t="shared" si="8"/>
        <v>533.0009088266936</v>
      </c>
      <c r="V10" s="5">
        <v>0.21276599998816001</v>
      </c>
      <c r="W10" s="5">
        <f t="shared" si="9"/>
        <v>23534.927</v>
      </c>
      <c r="X10" s="5">
        <f t="shared" si="1"/>
        <v>568.69983491887024</v>
      </c>
      <c r="Y10" s="5">
        <f t="shared" si="10"/>
        <v>25324.376826194264</v>
      </c>
      <c r="Z10" s="5">
        <f t="shared" si="11"/>
        <v>629.71287187985263</v>
      </c>
      <c r="AA10" s="5"/>
      <c r="AB10" s="5"/>
      <c r="AC10" s="5"/>
      <c r="AD10" s="5"/>
      <c r="AE10" s="5"/>
      <c r="AF10" s="5">
        <f t="shared" si="12"/>
        <v>0.25421997295810173</v>
      </c>
      <c r="AG10" s="5">
        <f t="shared" si="13"/>
        <v>2.6003480488210745E-2</v>
      </c>
      <c r="AH10" s="3">
        <v>846608.57700000005</v>
      </c>
      <c r="AI10" s="3">
        <v>0.94374934891870499</v>
      </c>
      <c r="AJ10" s="3">
        <v>96.720196084055999</v>
      </c>
      <c r="AK10" s="5">
        <v>274414.413</v>
      </c>
      <c r="AL10" s="5">
        <v>1.0256372348848499</v>
      </c>
      <c r="AM10" s="5">
        <v>95.824366639355006</v>
      </c>
      <c r="AN10" s="3">
        <v>465441.00599999999</v>
      </c>
      <c r="AO10" s="3">
        <v>0.57416261008063096</v>
      </c>
      <c r="AP10" s="3">
        <v>95.8896242434421</v>
      </c>
      <c r="AR10">
        <f t="shared" si="14"/>
        <v>96.14472898895103</v>
      </c>
      <c r="AS10">
        <f t="shared" si="15"/>
        <v>0.49943610390540094</v>
      </c>
      <c r="AT10">
        <v>103.45497764953846</v>
      </c>
      <c r="AU10">
        <v>0.28190351028076055</v>
      </c>
      <c r="AV10">
        <f t="shared" si="16"/>
        <v>1.0760337954816799</v>
      </c>
      <c r="AW10">
        <f t="shared" si="17"/>
        <v>6.311943976321786E-3</v>
      </c>
    </row>
    <row r="11" spans="1:49" x14ac:dyDescent="0.25">
      <c r="A11" s="4" t="s">
        <v>6</v>
      </c>
      <c r="B11" s="5" t="s">
        <v>63</v>
      </c>
      <c r="C11" s="1" t="s">
        <v>49</v>
      </c>
      <c r="D11" s="3">
        <v>814934.70499999996</v>
      </c>
      <c r="E11" s="3">
        <v>0.72631703418672899</v>
      </c>
      <c r="F11" s="12">
        <f t="shared" si="2"/>
        <v>5919.0095799143692</v>
      </c>
      <c r="G11" s="3">
        <v>7.2769837889813997</v>
      </c>
      <c r="H11" s="3">
        <f t="shared" si="3"/>
        <v>814930.701</v>
      </c>
      <c r="I11" s="12">
        <f t="shared" si="0"/>
        <v>5919.0137179967433</v>
      </c>
      <c r="J11" s="3">
        <f t="shared" si="4"/>
        <v>923522.87236119329</v>
      </c>
      <c r="K11" s="3">
        <f t="shared" si="5"/>
        <v>9129.497406927263</v>
      </c>
      <c r="L11" s="3"/>
      <c r="M11" s="3"/>
      <c r="N11" s="3"/>
      <c r="O11" s="3"/>
      <c r="P11" s="3"/>
      <c r="Q11" s="3">
        <f>J11/O$3</f>
        <v>8.8024140259556916</v>
      </c>
      <c r="R11" s="3">
        <f t="shared" si="7"/>
        <v>0.96244547313577777</v>
      </c>
      <c r="S11" s="5">
        <v>221729.64199999999</v>
      </c>
      <c r="T11" s="5">
        <v>0.817201496944443</v>
      </c>
      <c r="U11" s="5">
        <f t="shared" si="8"/>
        <v>1811.9779535935543</v>
      </c>
      <c r="V11" s="5">
        <v>1.9761551127997901</v>
      </c>
      <c r="W11" s="5">
        <f t="shared" si="9"/>
        <v>218590.68799999999</v>
      </c>
      <c r="X11" s="5">
        <f t="shared" si="1"/>
        <v>1822.7982986978438</v>
      </c>
      <c r="Y11" s="5">
        <f t="shared" si="10"/>
        <v>247718.60945409324</v>
      </c>
      <c r="Z11" s="5">
        <f t="shared" si="11"/>
        <v>2650.7720892632638</v>
      </c>
      <c r="AA11" s="5"/>
      <c r="AB11" s="5"/>
      <c r="AC11" s="5"/>
      <c r="AD11" s="5"/>
      <c r="AE11" s="5"/>
      <c r="AF11" s="5">
        <f t="shared" si="12"/>
        <v>2.4867351575459087</v>
      </c>
      <c r="AG11" s="5">
        <f t="shared" si="13"/>
        <v>0.24816184530440366</v>
      </c>
      <c r="AH11" s="3">
        <v>795964.478</v>
      </c>
      <c r="AI11" s="3">
        <v>0.42645884607391998</v>
      </c>
      <c r="AJ11" s="3">
        <v>90.934396933357903</v>
      </c>
      <c r="AK11" s="5">
        <v>258196.557</v>
      </c>
      <c r="AL11" s="5">
        <v>1.3559910679345799</v>
      </c>
      <c r="AM11" s="5">
        <v>90.161159075077904</v>
      </c>
      <c r="AN11" s="3">
        <v>436302.859</v>
      </c>
      <c r="AO11" s="3">
        <v>0.64266787452821295</v>
      </c>
      <c r="AP11" s="3">
        <v>89.886616491735396</v>
      </c>
      <c r="AR11">
        <f t="shared" si="14"/>
        <v>90.327390833390396</v>
      </c>
      <c r="AS11">
        <f t="shared" si="15"/>
        <v>0.54330995901548873</v>
      </c>
      <c r="AT11">
        <v>102.3638099938817</v>
      </c>
      <c r="AU11">
        <v>0.30349006796045963</v>
      </c>
      <c r="AV11">
        <f t="shared" si="16"/>
        <v>1.1332532585015389</v>
      </c>
      <c r="AW11">
        <f t="shared" si="17"/>
        <v>7.5994862276411558E-3</v>
      </c>
    </row>
  </sheetData>
  <mergeCells count="6">
    <mergeCell ref="AH1:AJ1"/>
    <mergeCell ref="AK1:AM1"/>
    <mergeCell ref="AN1:AP1"/>
    <mergeCell ref="A1:C1"/>
    <mergeCell ref="D1:R1"/>
    <mergeCell ref="S1:AG1"/>
  </mergeCell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ValueList_Helper!$A$1:$A$20</xm:f>
          </x14:formula1>
          <xm:sqref>A3:A11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workbookViewId="0">
      <selection activeCell="E8" sqref="E8"/>
    </sheetView>
  </sheetViews>
  <sheetFormatPr defaultRowHeight="15" x14ac:dyDescent="0.25"/>
  <cols>
    <col min="1" max="1" width="23.42578125" bestFit="1" customWidth="1"/>
    <col min="2" max="2" width="12" bestFit="1" customWidth="1"/>
    <col min="8" max="8" width="27.42578125" bestFit="1" customWidth="1"/>
    <col min="9" max="9" width="12" bestFit="1" customWidth="1"/>
    <col min="11" max="11" width="11.42578125" bestFit="1" customWidth="1"/>
    <col min="14" max="14" width="27.42578125" bestFit="1" customWidth="1"/>
    <col min="15" max="15" width="12" bestFit="1" customWidth="1"/>
  </cols>
  <sheetData>
    <row r="1" spans="1:15" x14ac:dyDescent="0.25">
      <c r="E1" s="10" t="s">
        <v>172</v>
      </c>
    </row>
    <row r="2" spans="1:15" x14ac:dyDescent="0.25">
      <c r="A2" t="s">
        <v>124</v>
      </c>
      <c r="B2">
        <v>8.8024140259556916</v>
      </c>
      <c r="C2" t="s">
        <v>126</v>
      </c>
      <c r="E2">
        <v>0.96244547313577777</v>
      </c>
    </row>
    <row r="3" spans="1:15" x14ac:dyDescent="0.25">
      <c r="A3" t="s">
        <v>125</v>
      </c>
      <c r="B3">
        <v>2.4867351575459087</v>
      </c>
      <c r="C3" t="s">
        <v>126</v>
      </c>
      <c r="E3">
        <v>0.24816184530440366</v>
      </c>
    </row>
    <row r="5" spans="1:15" x14ac:dyDescent="0.25">
      <c r="A5" t="s">
        <v>129</v>
      </c>
      <c r="B5">
        <v>0.12509316168997728</v>
      </c>
      <c r="E5">
        <v>6.8975251851680969E-6</v>
      </c>
    </row>
    <row r="7" spans="1:15" x14ac:dyDescent="0.25">
      <c r="A7" t="s">
        <v>127</v>
      </c>
      <c r="B7">
        <f>B2/B5</f>
        <v>70.366868236738782</v>
      </c>
      <c r="C7" t="s">
        <v>126</v>
      </c>
      <c r="E7">
        <f>B7*SQRT(((E5/B5)^2)+((E2/B2)^2))</f>
        <v>7.6938306020504266</v>
      </c>
    </row>
    <row r="8" spans="1:15" x14ac:dyDescent="0.25">
      <c r="A8" t="s">
        <v>128</v>
      </c>
      <c r="B8">
        <f>B3/B5</f>
        <v>19.879065521653938</v>
      </c>
      <c r="C8" t="s">
        <v>126</v>
      </c>
      <c r="E8">
        <f>B8*SQRT(((E5/B5)^2)+((E3/B3)^2))</f>
        <v>1.9838165398660088</v>
      </c>
    </row>
    <row r="10" spans="1:15" x14ac:dyDescent="0.25">
      <c r="A10" t="s">
        <v>89</v>
      </c>
      <c r="B10">
        <v>47.563000000000002</v>
      </c>
      <c r="C10" t="s">
        <v>130</v>
      </c>
      <c r="E10">
        <v>1E-4</v>
      </c>
      <c r="H10" t="s">
        <v>133</v>
      </c>
      <c r="I10">
        <v>14050000000</v>
      </c>
      <c r="N10" t="s">
        <v>140</v>
      </c>
      <c r="O10">
        <f>4.468*10^9</f>
        <v>4468000000</v>
      </c>
    </row>
    <row r="12" spans="1:15" x14ac:dyDescent="0.25">
      <c r="A12" t="s">
        <v>131</v>
      </c>
      <c r="B12">
        <f>(B10*B7)/1000</f>
        <v>3.3468593539440068</v>
      </c>
      <c r="C12" t="s">
        <v>132</v>
      </c>
      <c r="H12" t="s">
        <v>134</v>
      </c>
      <c r="I12">
        <v>4.4338428E+17</v>
      </c>
      <c r="N12" t="s">
        <v>141</v>
      </c>
      <c r="O12">
        <f>O10*365.25*24*60*60</f>
        <v>1.409993568E+17</v>
      </c>
    </row>
    <row r="13" spans="1:15" x14ac:dyDescent="0.25">
      <c r="A13" t="s">
        <v>143</v>
      </c>
      <c r="B13">
        <f>(B8*B10)/1000</f>
        <v>0.94550799340642633</v>
      </c>
      <c r="C13" t="s">
        <v>132</v>
      </c>
    </row>
    <row r="15" spans="1:15" x14ac:dyDescent="0.25">
      <c r="H15" t="s">
        <v>135</v>
      </c>
      <c r="I15">
        <v>1.5633102295822154E-18</v>
      </c>
      <c r="K15" t="s">
        <v>136</v>
      </c>
      <c r="L15">
        <f>6.022*10^23</f>
        <v>6.0219999999999996E+23</v>
      </c>
      <c r="N15" t="s">
        <v>142</v>
      </c>
      <c r="O15">
        <f>(LN(2))/O12</f>
        <v>4.9159598759243794E-18</v>
      </c>
    </row>
    <row r="17" spans="8:15" x14ac:dyDescent="0.25">
      <c r="H17" t="s">
        <v>137</v>
      </c>
      <c r="I17">
        <f>(B12/1000000)/232</f>
        <v>1.4426117904931063E-8</v>
      </c>
      <c r="N17" t="s">
        <v>137</v>
      </c>
      <c r="O17">
        <f>(B13/1000000)/238</f>
        <v>3.9727226613715392E-9</v>
      </c>
    </row>
    <row r="19" spans="8:15" x14ac:dyDescent="0.25">
      <c r="H19" t="s">
        <v>138</v>
      </c>
      <c r="I19">
        <f>I17*L15</f>
        <v>8687408202349485</v>
      </c>
      <c r="N19" t="s">
        <v>138</v>
      </c>
      <c r="O19">
        <f>O17*L15</f>
        <v>2392373586677941</v>
      </c>
    </row>
    <row r="21" spans="8:15" x14ac:dyDescent="0.25">
      <c r="H21" t="s">
        <v>139</v>
      </c>
      <c r="I21">
        <f>I19*I15</f>
        <v>1.3581114111289394E-2</v>
      </c>
      <c r="N21" t="s">
        <v>139</v>
      </c>
      <c r="O21">
        <f>O19*O15</f>
        <v>1.1760812560330054E-2</v>
      </c>
    </row>
    <row r="23" spans="8:15" x14ac:dyDescent="0.25">
      <c r="H23" t="s">
        <v>144</v>
      </c>
      <c r="I23">
        <f>I21/B10</f>
        <v>2.8553947630068316E-4</v>
      </c>
      <c r="N23" t="s">
        <v>144</v>
      </c>
      <c r="O23">
        <f>O21/B10</f>
        <v>2.4726809831865219E-4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20"/>
  <sheetViews>
    <sheetView zoomScaleNormal="100" workbookViewId="0"/>
  </sheetViews>
  <sheetFormatPr defaultColWidth="9.140625" defaultRowHeight="15" x14ac:dyDescent="0.25"/>
  <sheetData>
    <row r="1" spans="1:1" x14ac:dyDescent="0.25">
      <c r="A1" t="s">
        <v>19</v>
      </c>
    </row>
    <row r="2" spans="1:1" x14ac:dyDescent="0.25">
      <c r="A2" t="s">
        <v>28</v>
      </c>
    </row>
    <row r="3" spans="1:1" x14ac:dyDescent="0.25">
      <c r="A3" t="s">
        <v>21</v>
      </c>
    </row>
    <row r="4" spans="1:1" x14ac:dyDescent="0.25">
      <c r="A4" t="s">
        <v>42</v>
      </c>
    </row>
    <row r="5" spans="1:1" x14ac:dyDescent="0.25">
      <c r="A5" t="s">
        <v>62</v>
      </c>
    </row>
    <row r="6" spans="1:1" x14ac:dyDescent="0.25">
      <c r="A6" t="s">
        <v>33</v>
      </c>
    </row>
    <row r="7" spans="1:1" x14ac:dyDescent="0.25">
      <c r="A7" t="s">
        <v>15</v>
      </c>
    </row>
    <row r="8" spans="1:1" x14ac:dyDescent="0.25">
      <c r="A8" t="s">
        <v>16</v>
      </c>
    </row>
    <row r="9" spans="1:1" x14ac:dyDescent="0.25">
      <c r="A9" t="s">
        <v>18</v>
      </c>
    </row>
    <row r="10" spans="1:1" x14ac:dyDescent="0.25">
      <c r="A10" t="s">
        <v>48</v>
      </c>
    </row>
    <row r="11" spans="1:1" x14ac:dyDescent="0.25">
      <c r="A11" t="s">
        <v>1</v>
      </c>
    </row>
    <row r="12" spans="1:1" x14ac:dyDescent="0.25">
      <c r="A12" t="s">
        <v>32</v>
      </c>
    </row>
    <row r="13" spans="1:1" x14ac:dyDescent="0.25">
      <c r="A13" t="s">
        <v>29</v>
      </c>
    </row>
    <row r="14" spans="1:1" x14ac:dyDescent="0.25">
      <c r="A14" t="s">
        <v>56</v>
      </c>
    </row>
    <row r="15" spans="1:1" x14ac:dyDescent="0.25">
      <c r="A15" t="s">
        <v>6</v>
      </c>
    </row>
    <row r="16" spans="1:1" x14ac:dyDescent="0.25">
      <c r="A16" t="s">
        <v>4</v>
      </c>
    </row>
    <row r="17" spans="1:1" x14ac:dyDescent="0.25">
      <c r="A17" t="s">
        <v>58</v>
      </c>
    </row>
    <row r="18" spans="1:1" x14ac:dyDescent="0.25">
      <c r="A18" t="s">
        <v>11</v>
      </c>
    </row>
    <row r="19" spans="1:1" x14ac:dyDescent="0.25">
      <c r="A19" t="s">
        <v>23</v>
      </c>
    </row>
    <row r="20" spans="1:1" x14ac:dyDescent="0.25">
      <c r="A20" t="s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Calibration</vt:lpstr>
      <vt:lpstr>concrete dilution</vt:lpstr>
      <vt:lpstr>Sheet4</vt:lpstr>
      <vt:lpstr>Sheet5</vt:lpstr>
      <vt:lpstr>ValueList_Helper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2021-05-17T13:03:53Z</dcterms:created>
  <dcterms:modified xsi:type="dcterms:W3CDTF">2021-11-28T17:32:37Z</dcterms:modified>
</cp:coreProperties>
</file>